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loudprodamazhotmail-my.sharepoint.com/personal/wesleymsilva_prodam_sp_gov_br/Documents/Área de Trabalho/"/>
    </mc:Choice>
  </mc:AlternateContent>
  <xr:revisionPtr revIDLastSave="61" documentId="14_{1E8E10C7-5C56-45B3-B8CB-872BD6D8EAFC}" xr6:coauthVersionLast="47" xr6:coauthVersionMax="47" xr10:uidLastSave="{623A0E82-B49A-41E3-8825-063DE9FFFDDA}"/>
  <bookViews>
    <workbookView xWindow="-108" yWindow="-108" windowWidth="23256" windowHeight="12456" xr2:uid="{B4F4197B-FE60-4993-BC3B-2FF5C95BA5F1}"/>
  </bookViews>
  <sheets>
    <sheet name="PESQUISA DE DEMANDA" sheetId="4" r:id="rId1"/>
    <sheet name="MATERIAIS" sheetId="1" r:id="rId2"/>
    <sheet name="SERVIÇOS" sheetId="3" r:id="rId3"/>
    <sheet name="ATIVOS" sheetId="2" r:id="rId4"/>
    <sheet name="APOIO" sheetId="6" r:id="rId5"/>
  </sheets>
  <definedNames>
    <definedName name="_xlnm._FilterDatabase" localSheetId="1" hidden="1">MATERIAIS!$A$1:$F$184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40" i="3"/>
  <c r="D39" i="3"/>
  <c r="D12" i="1"/>
  <c r="D3" i="2"/>
  <c r="D4" i="2"/>
  <c r="D2" i="2"/>
  <c r="D80" i="1"/>
  <c r="D104" i="1"/>
  <c r="D151" i="1"/>
  <c r="D84" i="1"/>
  <c r="D52" i="1"/>
  <c r="D7" i="1"/>
  <c r="D171" i="1"/>
  <c r="D140" i="1"/>
  <c r="D141" i="1"/>
  <c r="D142" i="1"/>
  <c r="D143" i="1"/>
  <c r="D4" i="1" s="1"/>
  <c r="D158" i="1"/>
  <c r="D129" i="1"/>
  <c r="D106" i="1"/>
  <c r="D47" i="1"/>
  <c r="D174" i="1"/>
  <c r="D175" i="1"/>
  <c r="D126" i="1"/>
  <c r="D72" i="1"/>
  <c r="D71" i="1"/>
  <c r="D70" i="1"/>
  <c r="D65" i="1"/>
  <c r="D69" i="1"/>
  <c r="D63" i="1"/>
  <c r="D61" i="1"/>
  <c r="D64" i="1"/>
  <c r="D60" i="1"/>
  <c r="D62" i="1"/>
  <c r="D66" i="1"/>
  <c r="D59" i="1"/>
  <c r="D58" i="1"/>
  <c r="D114" i="1"/>
  <c r="D115" i="1"/>
  <c r="D116" i="1"/>
  <c r="D117" i="1"/>
  <c r="D118" i="1"/>
  <c r="D119" i="1"/>
  <c r="D120" i="1"/>
  <c r="D113" i="1"/>
  <c r="D137" i="1"/>
  <c r="D103" i="1"/>
  <c r="D101" i="1"/>
  <c r="D102" i="1"/>
  <c r="D100" i="1"/>
  <c r="D99" i="1"/>
  <c r="D136" i="1"/>
  <c r="D130" i="1"/>
  <c r="G129" i="1"/>
  <c r="D135" i="1"/>
  <c r="D96" i="1"/>
  <c r="D93" i="1"/>
  <c r="D121" i="1"/>
  <c r="D95" i="1"/>
  <c r="D94" i="1"/>
  <c r="D92" i="1"/>
  <c r="D144" i="1"/>
  <c r="D173" i="1"/>
  <c r="D172" i="1"/>
  <c r="D170" i="1"/>
  <c r="D169" i="1"/>
  <c r="D168" i="1"/>
  <c r="D167" i="1"/>
  <c r="D166" i="1"/>
  <c r="D165" i="1"/>
  <c r="D164" i="1"/>
  <c r="D163" i="1"/>
  <c r="D162" i="1"/>
  <c r="D161" i="1"/>
  <c r="D160" i="1"/>
  <c r="D159" i="1"/>
  <c r="D157" i="1"/>
  <c r="D156" i="1"/>
  <c r="D155" i="1"/>
  <c r="D153" i="1"/>
  <c r="D150" i="1"/>
  <c r="D149" i="1"/>
  <c r="D148" i="1"/>
  <c r="D147" i="1"/>
  <c r="D146" i="1"/>
  <c r="D145" i="1"/>
  <c r="D51" i="1"/>
  <c r="D46" i="1"/>
  <c r="D45" i="1"/>
  <c r="D3" i="1" l="1"/>
  <c r="D57" i="1" s="1"/>
  <c r="D128" i="1"/>
  <c r="D127" i="1"/>
  <c r="D124" i="1"/>
  <c r="D122" i="1"/>
  <c r="D123" i="1"/>
  <c r="D68" i="1"/>
  <c r="D139" i="1"/>
  <c r="D138" i="1"/>
  <c r="D2" i="1" l="1"/>
  <c r="D131" i="1"/>
  <c r="D97" i="1"/>
  <c r="D125" i="1"/>
  <c r="D109" i="1"/>
  <c r="D108" i="1"/>
  <c r="G108" i="1" s="1"/>
  <c r="D112" i="1"/>
  <c r="G112" i="1" s="1"/>
  <c r="D111" i="1"/>
  <c r="G111" i="1" s="1"/>
  <c r="D110" i="1"/>
  <c r="G110" i="1" s="1"/>
  <c r="D79" i="1"/>
  <c r="D90" i="1"/>
  <c r="D89" i="1"/>
  <c r="D88" i="1"/>
  <c r="D86" i="1"/>
  <c r="D87" i="1"/>
  <c r="D91" i="1"/>
  <c r="F23" i="2"/>
  <c r="D6" i="2"/>
  <c r="D5" i="2"/>
  <c r="D16" i="3"/>
  <c r="D31" i="3"/>
  <c r="D181" i="1"/>
  <c r="D180" i="1"/>
  <c r="D177" i="1"/>
  <c r="D176" i="1"/>
  <c r="D178" i="1"/>
  <c r="D179" i="1"/>
  <c r="D182" i="1"/>
  <c r="D183" i="1"/>
  <c r="D184" i="1"/>
  <c r="D38" i="3"/>
  <c r="D37" i="3"/>
  <c r="D36" i="3"/>
  <c r="D35" i="3"/>
  <c r="D32" i="3"/>
  <c r="D27" i="3"/>
  <c r="D12" i="3"/>
  <c r="D15" i="3"/>
  <c r="D30" i="3"/>
  <c r="D20" i="3"/>
  <c r="D29" i="3"/>
  <c r="D14" i="3"/>
  <c r="D26" i="3"/>
  <c r="D11" i="3"/>
  <c r="D25" i="3"/>
  <c r="D10" i="3"/>
  <c r="D24" i="3"/>
  <c r="D9" i="3"/>
  <c r="D8" i="3"/>
  <c r="D23" i="3"/>
  <c r="D7" i="3"/>
  <c r="D22" i="3"/>
  <c r="D6" i="3"/>
  <c r="D21" i="3"/>
  <c r="D5" i="3"/>
  <c r="D19" i="3"/>
  <c r="D4" i="3"/>
  <c r="D28" i="3"/>
  <c r="D13" i="3"/>
  <c r="D3" i="3"/>
  <c r="D18" i="3"/>
  <c r="D17" i="3"/>
  <c r="D2" i="3"/>
  <c r="D78" i="1" l="1"/>
  <c r="D77" i="1"/>
  <c r="D76" i="1"/>
  <c r="D48" i="1"/>
  <c r="D75" i="1"/>
  <c r="D74" i="1"/>
  <c r="D73" i="1"/>
  <c r="D50" i="1"/>
  <c r="D49" i="1"/>
  <c r="D82" i="1"/>
  <c r="D132" i="1"/>
  <c r="D134" i="1" s="1"/>
  <c r="G109" i="1"/>
  <c r="D133" i="1"/>
  <c r="D34" i="3"/>
  <c r="D33" i="3"/>
  <c r="D5" i="1"/>
  <c r="D43" i="1"/>
  <c r="D44" i="1"/>
  <c r="D53" i="1"/>
  <c r="D54" i="1"/>
  <c r="D55" i="1"/>
  <c r="D56" i="1"/>
  <c r="D85" i="1"/>
  <c r="D98" i="1"/>
  <c r="D105" i="1"/>
  <c r="D152" i="1"/>
  <c r="D154" i="1"/>
  <c r="D10" i="1"/>
  <c r="D8" i="1"/>
  <c r="D9" i="1"/>
  <c r="D6" i="1"/>
  <c r="D26" i="1"/>
  <c r="D27" i="1"/>
  <c r="D25" i="1"/>
  <c r="D81" i="1"/>
  <c r="D67" i="1"/>
  <c r="D22" i="1" l="1"/>
  <c r="D14" i="1"/>
  <c r="D15" i="1"/>
  <c r="D13" i="1"/>
  <c r="D18" i="1"/>
  <c r="D20" i="1"/>
  <c r="D16" i="1"/>
  <c r="D17" i="1"/>
  <c r="D19" i="1"/>
  <c r="D21" i="1"/>
  <c r="D30" i="1"/>
  <c r="D29" i="1"/>
  <c r="D28" i="1"/>
  <c r="D23" i="1"/>
  <c r="D24" i="1"/>
  <c r="D42" i="1"/>
  <c r="D38" i="1"/>
  <c r="D34" i="1"/>
  <c r="D31" i="1"/>
  <c r="D41" i="1"/>
  <c r="D37" i="1"/>
  <c r="D33" i="1"/>
  <c r="D35" i="1"/>
  <c r="D40" i="1"/>
  <c r="D36" i="1"/>
  <c r="D32" i="1"/>
  <c r="D39" i="1"/>
  <c r="D107" i="1"/>
  <c r="D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tc={BF7E833B-D162-48F3-A02C-8404C1679515}</author>
    <author>tc={82C4FD80-D757-43A8-AF2D-A05E279E983C}</author>
    <author>tc={F399D2F4-6536-46F9-9223-D7875FFED11E}</author>
    <author>tc={4E1BCD47-3CAD-40F9-B23F-30674B49BF35}</author>
    <author>tc={56857649-4EE7-4948-954F-517F28399011}</author>
    <author>tc={F1F98E2C-EA82-43AD-A76B-361E84B6F633}</author>
    <author>tc={C9C391B7-04FD-456C-9432-8C7FDDEE922A}</author>
    <author>tc={FD67EDA3-240D-4DC3-87BC-08FAFC61A2F0}</author>
    <author>tc={1998AC07-488C-492D-ACCF-0641483A99E6}</author>
    <author>tc={F527FAC1-1609-455A-B97D-C5999D7EBD44}</author>
    <author>tc={E1017B13-E417-44F7-87D3-BC3525E7B168}</author>
    <author>tc={CEFC42C3-81B5-4F7A-A41B-21E4E8D45D21}</author>
    <author>tc={DA0039C4-D718-4E7D-8E30-B53B69AABC91}</author>
    <author>tc={FFF29330-67C5-4CFA-A389-A6DE42FFC7E3}</author>
    <author>tc={F6D58DA6-F0A4-4B1D-A519-3CE1CDD63231}</author>
    <author>tc={0F995A72-6AAB-4160-9FC3-9A02E5A7D689}</author>
    <author>tc={F535FBDB-586D-4B79-A506-DFAC5DFFEB3D}</author>
    <author>tc={BC883535-3651-4898-B1DF-F87E744C7C58}</author>
    <author>tc={A9F920B9-EE76-4177-A603-62F36CCFBAC5}</author>
    <author>tc={BE490F15-98D3-43C2-A29C-770A3565E67A}</author>
    <author>tc={BE6012CD-1A4B-4EBD-AFA6-741DE0065007}</author>
    <author>tc={63982EEC-A5E0-4553-AE0C-0FCB0CFDCA91}</author>
    <author>tc={693CF16F-9476-484F-807B-F07EFA4665F5}</author>
    <author>tc={3A46C9E0-6C02-4291-A72F-5B6B160B0138}</author>
    <author>tc={A0B5D22C-EE13-4CFE-A904-017313F4881B}</author>
    <author>tc={9850C824-8BA6-4142-925B-B032D8058B9A}</author>
    <author>tc={8445FA7A-5255-470F-B9A2-AEFCC21CD3AC}</author>
    <author>tc={FAC2702C-01A9-47A6-B8DD-BAF4983D29FA}</author>
    <author>tc={B6344B62-376C-4B3E-B4E1-0CE3CFCE5F12}</author>
    <author>tc={7981BCE4-1389-4411-B984-724989BCA157}</author>
    <author>tc={17AB8842-6EE2-4BC7-B8DF-92FACE04F736}</author>
    <author>tc={AF89E72A-5064-43CE-A298-007ED4DDC200}</author>
    <author>tc={BAA17B17-1362-48CD-8B7F-45E0C8AF0774}</author>
    <author>tc={A79A1C01-BEC3-4B2B-B2EF-14769D8CFAD8}</author>
    <author>tc={E2F804EA-CD6F-4928-8B80-B29D14F88903}</author>
    <author>tc={78A47BDF-B4EE-4FD7-8F15-DD60BAC82110}</author>
    <author>tc={D9C40CC1-040C-448D-9264-417F900CF111}</author>
    <author>tc={B9DBF371-82E3-475F-9A0A-DA673E735E98}</author>
  </authors>
  <commentList>
    <comment ref="F5" authorId="0" shapeId="0" xr:uid="{BF7E833B-D162-48F3-A02C-8404C1679515}">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Justificativa Pesquisa de Demanda				
Critérios de Definição:	
Estabelecer coerência entre a quantidade de estações de trabalhos atuais as possíveis expansões e o quantitativo definido na pesquisa de demanda. 
Necessidade:		
Esse quantitativo pretende garantir os atendimentos das novas demandas, crescimento vegetativo e de reorganização gerencial.		
Conclusão:		
Portanto, o quantitativo solicitado está alinhado com as demandas anteriores as necessidades atuais e futuras, além de garantir a continuidade na prestação de serviço.
</t>
      </text>
    </comment>
    <comment ref="B6" authorId="1" shapeId="0" xr:uid="{82C4FD80-D757-43A8-AF2D-A05E279E983C}">
      <text>
        <t>[Comentário encadeado]
Sua versão do Excel permite que você leia este comentário encadeado, no entanto, as edições serão removidas se o arquivo for aberto em uma versão mais recente do Excel. Saiba mais: https://go.microsoft.com/fwlink/?linkid=870924
Comentário:
    O ponto estruturado é indicado para ser utilizado onde há a necessidade de integração dos serviços de telefonia que fazem uso de PABX tradicional</t>
      </text>
    </comment>
    <comment ref="C6" authorId="2" shapeId="0" xr:uid="{F399D2F4-6536-46F9-9223-D7875FFED11E}">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estruturados, que consiste em 02 pontos de Rede CAT5E com fornecimento de cabos de até 90m, Conector Fêmea e 02 Pontos de Energia Elétrica e tomada de 10 A do quadro elétrico até a tomada, conectorização e mão de obra. Será realizada conversão pelo histórico das ARPs anteriores de serviços dentro do horário comercial e fora do horário comercial.
</t>
      </text>
    </comment>
    <comment ref="B7" authorId="3" shapeId="0" xr:uid="{4E1BCD47-3CAD-40F9-B23F-30674B49BF35}">
      <text>
        <t>[Comentário encadeado]
Sua versão do Excel permite que você leia este comentário encadeado, no entanto, as edições serão removidas se o arquivo for aberto em uma versão mais recente do Excel. Saiba mais: https://go.microsoft.com/fwlink/?linkid=870924
Comentário:
    O ponto estruturado é indicado para ser utilizado onde há a necessidade de integração dos serviços de telefonia que fazem uso de PABX tradicional</t>
      </text>
    </comment>
    <comment ref="C7" authorId="4" shapeId="0" xr:uid="{56857649-4EE7-4948-954F-517F28399011}">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estruturados, que consiste em 02 pontos de Rede CAT6 com fornecimento de cabos de até 90m, Conector Fêmea e 02 Pontos de Energia Elétrica e tomada de 10 A do quadro elétrico até a tomada, conectorização e mão de obra. Será realizada conversão pelo histórico das ARPs anteriores de serviços dentro do horário comercial e fora do horário comercial.
</t>
      </text>
    </comment>
    <comment ref="B8" authorId="5" shapeId="0" xr:uid="{F1F98E2C-EA82-43AD-A76B-361E84B6F633}">
      <text>
        <t>[Comentário encadeado]
Sua versão do Excel permite que você leia este comentário encadeado, no entanto, as edições serão removidas se o arquivo for aberto em uma versão mais recente do Excel. Saiba mais: https://go.microsoft.com/fwlink/?linkid=870924
Comentário:
    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t>
      </text>
    </comment>
    <comment ref="C8" authorId="6" shapeId="0" xr:uid="{C9C391B7-04FD-456C-9432-8C7FDDEE922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de rede CAT5E com fornecimento de cabos de até 90m, conector fêmea, conectorização e mão de obra. Será realizada conversão pelo histórico das ARPs anteriores de serviços dentro do horário comercial e fora do horário comercial.
</t>
      </text>
    </comment>
    <comment ref="B9" authorId="7" shapeId="0" xr:uid="{FD67EDA3-240D-4DC3-87BC-08FAFC61A2F0}">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
</t>
      </text>
    </comment>
    <comment ref="C9" authorId="8" shapeId="0" xr:uid="{1998AC07-488C-492D-ACCF-0641483A99E6}">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nstalação de novos pontos de rede CAT6 com fornecimento de cabos de até 90m, conector fêmea, conectorização e mão de obra. Será realizada conversão pelo histórico das ARPs anteriores de serviços dentro do horário comercial e fora do horário comercial.
</t>
      </text>
    </comment>
    <comment ref="B10" authorId="9" shapeId="0" xr:uid="{F527FAC1-1609-455A-B97D-C5999D7EBD44}">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
</t>
      </text>
    </comment>
    <comment ref="C10" authorId="10" shapeId="0" xr:uid="{E1017B13-E417-44F7-87D3-BC3525E7B168}">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de rede CAT6A com fornecimento de cabos de até 90m, conector fêmea, conectorização e mão de obra. Será realizada conversão pelo histórico das ARPs anteriores de serviços dentro do horário comercial e fora do horário comercial.
</t>
      </text>
    </comment>
    <comment ref="B11" authorId="11" shapeId="0" xr:uid="{CEFC42C3-81B5-4F7A-A41B-21E4E8D45D21}">
      <text>
        <t>[Comentário encadeado]
Sua versão do Excel permite que você leia este comentário encadeado, no entanto, as edições serão removidas se o arquivo for aberto em uma versão mais recente do Excel. Saiba mais: https://go.microsoft.com/fwlink/?linkid=870924
Comentário:
    O serviço é indicado para ambientes onde devido ao tempo de uso os racks ficaram desorganizados e os pontos de rede conectados a esse rack não estão funcionando ou perderam a identificação, caberá ao prestador de serviço organizar o rack, identificar e testar os pontos de rede ligados a este rack e se for necessário fazer a substituição do cabo de rede(orientado o cliente a adquirir a instalação de um novo ponto de rede.)</t>
      </text>
    </comment>
    <comment ref="C11" authorId="12" shapeId="0" xr:uid="{DA0039C4-D718-4E7D-8E30-B53B69AABC91}">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Manutenção preventiva em racks de pontos de rede CAT5E, CAT6 e CAT6A com mão de obra. Indicado para verificação de cabeamento, conectorização. Será realizada conversão pelo histórico das ARPs anteriores de serviços dentro do horário comercial e fora do horário comercial.
</t>
      </text>
    </comment>
    <comment ref="B12" authorId="13" shapeId="0" xr:uid="{FFF29330-67C5-4CFA-A389-A6DE42FFC7E3}">
      <text>
        <t>[Comentário encadeado]
Sua versão do Excel permite que você leia este comentário encadeado, no entanto, as edições serão removidas se o arquivo for aberto em uma versão mais recente do Excel. Saiba mais: https://go.microsoft.com/fwlink/?linkid=870924
Comentário:
    Serviço indicado para a correções simples tais como substituição, teste e identificação do ponto de rede(Caso não seja possível aproveitar o cabo existente, o cliente terá que contratar a instalação de um novo ponto de rede)</t>
      </text>
    </comment>
    <comment ref="C12" authorId="14" shapeId="0" xr:uid="{F6D58DA6-F0A4-4B1D-A519-3CE1CDD63231}">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Manutenção corretiva em racks de pontos de rede CAT5E, CAT6 e CAT6A com mão de obra.  Indicado para correção de cabeamento, conectorização, organização de racks, patch panels, entre outros. Será realizada conversão pelo histórico das ARPs anteriores de serviços dentro do horário comercial e fora do horário comercial.
</t>
      </text>
    </comment>
    <comment ref="B13" authorId="15" shapeId="0" xr:uid="{0F995A72-6AAB-4160-9FC3-9A02E5A7D689}">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Esse serviço prevê a remoção de todos os pontos de rede inclusive a infraestrutura da rede antiga, a remoção e o descarte do material será de responsabilidade da contratada.
</t>
      </text>
    </comment>
    <comment ref="C13" authorId="16" shapeId="0" xr:uid="{F535FBDB-586D-4B79-A506-DFAC5DFFEB3D}">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Desinstalação de pontos de rede CAT5E ou CAT6 com mão de obra e descarte dos materiais. Será realizada conversão pelo histórico das ARPs anteriores de serviços dentro do horário comercial e fora do horário comercial.
</t>
      </text>
    </comment>
    <comment ref="B14" authorId="17" shapeId="0" xr:uid="{BC883535-3651-4898-B1DF-F87E744C7C58}">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Indicado para pontos avulsos de tomadas elétrica em pontos de rede em que não esta prevista a instalação de tomada(indicado para estações de trabalho, notebooks e equipamentos que não exijam circuito elétrico independente)
</t>
      </text>
    </comment>
    <comment ref="C14" authorId="18" shapeId="0" xr:uid="{A9F920B9-EE76-4177-A603-62F36CCFBAC5}">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de energia elétrica com fornecimento de cabos de 2,5 mm² e tomada de 10 A do quadro elétrico até a tomada, conectorização e mão de obra. Será realizada conversão pelo histórico das ARPs anteriores de serviços dentro do horário comercial e fora do horário comercial.
</t>
      </text>
    </comment>
    <comment ref="B15" authorId="19" shapeId="0" xr:uid="{BE490F15-98D3-43C2-A29C-770A3565E67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Indicado para impressoras, racks e equipamentos que exijam tomadas com circuito elétrico independente.
</t>
      </text>
    </comment>
    <comment ref="C15" authorId="20" shapeId="0" xr:uid="{BE6012CD-1A4B-4EBD-AFA6-741DE0065007}">
      <text>
        <t>[Comentário encadeado]
Sua versão do Excel permite que você leia este comentário encadeado, no entanto, as edições serão removidas se o arquivo for aberto em uma versão mais recente do Excel. Saiba mais: https://go.microsoft.com/fwlink/?linkid=870924
Comentário:
    Instalação de novos pontos de energia elétrica sem fornecimento de cabos de 2,5 mm² e tomada de  20 A do quadro elétrico até a tomada, conectorização e mão de obra. Será realizada conversão pelo histórico das ARPs anteriores de serviços dentro do horário comercial e fora do horário comercial.</t>
      </text>
    </comment>
    <comment ref="B16" authorId="21" shapeId="0" xr:uid="{63982EEC-A5E0-4553-AE0C-0FCB0CFDCA91}">
      <text>
        <t>[Comentário encadeado]
Sua versão do Excel permite que você leia este comentário encadeado, no entanto, as edições serão removidas se o arquivo for aberto em uma versão mais recente do Excel. Saiba mais: https://go.microsoft.com/fwlink/?linkid=870924
Comentário:
    Utilizado para emenda de cabos opticos geralmente utilizado em caixas de emenda e distribuidores opticos, para a aquisição deste serviço há que se ter em mente que  dependera do numero de vias a fibra possui(ex para um cabo de 4 vias haverá a necessidade de contratação de no mínimo 8 fusões - duas fusões para cada via do cabo )</t>
      </text>
    </comment>
    <comment ref="C16" authorId="22" shapeId="0" xr:uid="{693CF16F-9476-484F-807B-F07EFA4665F5}">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Fusão de fibra ótica monomodo e multimodo, Será realizada conversão pelo histórico das ARPs anteriores de serviços dentro do horário comercial e fora do horário comercial.
</t>
      </text>
    </comment>
    <comment ref="B17" authorId="23" shapeId="0" xr:uid="{3A46C9E0-6C02-4291-A72F-5B6B160B0138}">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Geralmente este serviço recomendado  para interligação de prédios ou andares, no caso da pesquisa de demanda o cliente devera informar quantos segmentos precisa e o total da metragem de todos os segmentos bem como a quantidade de vias (4, 6 ou 12)
</t>
      </text>
    </comment>
    <comment ref="C17" authorId="24" shapeId="0" xr:uid="{A0B5D22C-EE13-4CFE-A904-017313F4881B}">
      <text>
        <t>[Comentário encadeado]
Sua versão do Excel permite que você leia este comentário encadeado, no entanto, as edições serão removidas se o arquivo for aberto em uma versão mais recente do Excel. Saiba mais: https://go.microsoft.com/fwlink/?linkid=870924
Comentário:
    Lançamento de cabo optico (até 24 pares de fibra ótica) em infraestrutura existente com fornecimento de placas de identificação. Será realizada conversão pelo histórico das ARPs anteriores de serviços dentro do horário comercial e fora do horário comercial.</t>
      </text>
    </comment>
    <comment ref="B18" authorId="25" shapeId="0" xr:uid="{9850C824-8BA6-4142-925B-B032D8058B9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Serviço indicado para a estruturação do cabeamento de telefonia e poderá complementar a instalação da rede com cabeamento estruturado, interligando o PABX ao rack concentrador, o cliente devera informar a metragem estimada para o projeto. (Somente contratar se fizer uso de PABX) </t>
      </text>
    </comment>
    <comment ref="C18" authorId="26" shapeId="0" xr:uid="{8445FA7A-5255-470F-B9A2-AEFCC21CD3AC}">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Lançamento de cabo CI 50 em infraestrutura existente incluindo a conectorização (voice panel para bloco de corte, voice panel para voice panel ou bloco de corte para bloco de corte). Será realizada conversão pelo histórico das ARPs anteriores de serviços dentro do horário comercial e fora do horário comercial.
</t>
      </text>
    </comment>
    <comment ref="B19" authorId="27" shapeId="0" xr:uid="{FAC2702C-01A9-47A6-B8DD-BAF4983D29F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Serviço indicado para a estruturação do cabeamento de telefonia e poderá complementar a instalação da rede com cabeamento estruturado, interligando o PABX ao rack concentrador, o cliente devera informar a metragem estimada para o projeto. (Somente contratar se fizer uso de PABX) </t>
      </text>
    </comment>
    <comment ref="C19" authorId="28" shapeId="0" xr:uid="{B6344B62-376C-4B3E-B4E1-0CE3CFCE5F12}">
      <text>
        <t>[Comentário encadeado]
Sua versão do Excel permite que você leia este comentário encadeado, no entanto, as edições serão removidas se o arquivo for aberto em uma versão mais recente do Excel. Saiba mais: https://go.microsoft.com/fwlink/?linkid=870924
Comentário:
    Lançamento de cabo CI 30 em infraestrutura existente incluindo a conectorização (voice panel para bloco de corte, voice panel para voice panel ou bloco de corte para bloco de corte). Será realizada conversão pelo histórico das ARPs anteriores de serviços dentro do horário comercial e fora do horário comercial.</t>
      </text>
    </comment>
    <comment ref="B20" authorId="29" shapeId="0" xr:uid="{7981BCE4-1389-4411-B984-724989BCA157}">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Cada ponto GPON poderá suprir até 4 pontos de rede, se a quantidade de pontos for de 120 pontos recomendamos dividir por 2,5 que é a taxa media de ocupação do ativo de rede ONU,  (ex: 120 / 2,5 = 48 pontos GPON ). </t>
      </text>
    </comment>
    <comment ref="C20" authorId="30" shapeId="0" xr:uid="{17AB8842-6EE2-4BC7-B8DF-92FACE04F736}">
      <text>
        <t>[Comentário encadeado]
Sua versão do Excel permite que você leia este comentário encadeado, no entanto, as edições serão removidas se o arquivo for aberto em uma versão mais recente do Excel. Saiba mais: https://go.microsoft.com/fwlink/?linkid=870924
Comentário:
    Ativação de ponto ONT/ONU, em ambiente interno/externo, com fornecimento de etiquetas, acessórios para ancoragem e lançamento de cabo óptico até 150m (caixa de acesso até a roseta), conectorização nas extremidades do cabo. Identificação:  cabo, roseta, com certificação e testes de atenuação, observando a potência e sensibilidade dos equipamentos com margem de 10%(conforme modelos OLT/ONT adquiridos pelo contratante). Será realizada conversão pelo histórico das ARPs anteriores de serviços dentro do horário comercial e fora do horário comercial.</t>
      </text>
    </comment>
    <comment ref="E20" authorId="31" shapeId="0" xr:uid="{AF89E72A-5064-43CE-A298-007ED4DDC200}">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Apenas números múltiplos de 4
</t>
      </text>
    </comment>
    <comment ref="B21" authorId="32" shapeId="0" xr:uid="{BAA17B17-1362-48CD-8B7F-45E0C8AF0774}">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Serviço recomendado para manutenção em um ponto GPON(troca do conector, identificação do ponto, substituição do cabo do divisor optio até ponto GPON ) </t>
      </text>
    </comment>
    <comment ref="C21" authorId="33" shapeId="0" xr:uid="{A79A1C01-BEC3-4B2B-B2EF-14769D8CFAD8}">
      <text>
        <t>[Comentário encadeado]
Sua versão do Excel permite que você leia este comentário encadeado, no entanto, as edições serão removidas se o arquivo for aberto em uma versão mais recente do Excel. Saiba mais: https://go.microsoft.com/fwlink/?linkid=870924
Comentário:
    Manutenção corretiva em OLT, splitters e ONT/ONU com mão de obra. Será realizada conversão pelo histórico das ARPs anteriores de serviços dentro do horário comercial e fora do horário comercial.</t>
      </text>
    </comment>
    <comment ref="B22" authorId="34" shapeId="0" xr:uid="{E2F804EA-CD6F-4928-8B80-B29D14F88903}">
      <text>
        <t>[Comentário encadeado]
Sua versão do Excel permite que você leia este comentário encadeado, no entanto, as edições serão removidas se o arquivo for aberto em uma versão mais recente do Excel. Saiba mais: https://go.microsoft.com/fwlink/?linkid=870924
Comentário:
    Serviço de desinstalação de pontos GPON inclusive remoção e descarte de materiais.</t>
      </text>
    </comment>
    <comment ref="C22" authorId="35" shapeId="0" xr:uid="{78A47BDF-B4EE-4FD7-8F15-DD60BAC82110}">
      <text>
        <t>[Comentário encadeado]
Sua versão do Excel permite que você leia este comentário encadeado, no entanto, as edições serão removidas se o arquivo for aberto em uma versão mais recente do Excel. Saiba mais: https://go.microsoft.com/fwlink/?linkid=870924
Comentário:
    Desinstalação de pontos de rede GPON com mão de obra e descarte dos materiais. Será realizada conversão pelo histórico das ARPs anteriores de serviços dentro do horário comercial e fora do horário comercial.</t>
      </text>
    </comment>
    <comment ref="B23" authorId="36" shapeId="0" xr:uid="{D9C40CC1-040C-448D-9264-417F900CF111}">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Solução de gerenciamento de camada física, que  proporcionando monitorar e mapear sua infraestrutura física de forma segura, por meio de plataforma de software e hardware que detecte instantaneamente qualquer atividade não autorizada e ajuda na resolução de problemas em seu data center. </t>
      </text>
    </comment>
    <comment ref="C23" authorId="37" shapeId="0" xr:uid="{B9DBF371-82E3-475F-9A0A-DA673E735E98}">
      <text>
        <t>[Comentário encadeado]
Sua versão do Excel permite que você leia este comentário encadeado, no entanto, as edições serão removidas se o arquivo for aberto em uma versão mais recente do Excel. Saiba mais: https://go.microsoft.com/fwlink/?linkid=870924
Comentário:
    Solução de gerenciamento de camada física, que  proporcionando monitorar e mapear sua infraestrutura física de forma segura, por meio de plataforma de software e hardware que detecte instantaneamente qualquer atividade não autorizada e ajuda na resolução de problemas em seu data center.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tc={84989D7D-590F-4F32-AA15-389C44207F56}</author>
  </authors>
  <commentList>
    <comment ref="D108" authorId="0" shapeId="0" xr:uid="{84989D7D-590F-4F32-AA15-389C44207F56}">
      <text>
        <t>[Comentário encadeado]
Sua versão do Excel permite que você leia este comentário encadeado, no entanto, as edições serão removidas se o arquivo for aberto em uma versão mais recente do Excel. Saiba mais: https://go.microsoft.com/fwlink/?linkid=870924
Comentário:
    Soma  dos pontos estruturados itens 1 e 2 + tomadas avulsas itens 9 e 10 + tomadas para GPON item  15. dividido pela quantidade de tomadas do circuito(8 tomadas) e dividido por 10(media de disjuntores suportados pelos quadros elétricos disponiveis na ARP (6+8+16+32/5))</t>
      </text>
    </comment>
  </commentList>
</comments>
</file>

<file path=xl/sharedStrings.xml><?xml version="1.0" encoding="utf-8"?>
<sst xmlns="http://schemas.openxmlformats.org/spreadsheetml/2006/main" count="555" uniqueCount="302">
  <si>
    <t>PESQUISA DE DEMANDA 2025</t>
  </si>
  <si>
    <t>ARP INFRAESTRUTURA</t>
  </si>
  <si>
    <t>ITEM</t>
  </si>
  <si>
    <t>TIPO</t>
  </si>
  <si>
    <t>Unidade</t>
  </si>
  <si>
    <t>Quantidade</t>
  </si>
  <si>
    <t>Justificativa</t>
  </si>
  <si>
    <t>Pontos estruturados CAT5E</t>
  </si>
  <si>
    <t>Pontos estruturados CAT6</t>
  </si>
  <si>
    <t>Pontos de Rede CAT5E</t>
  </si>
  <si>
    <t>Pontos de Rede CAT6</t>
  </si>
  <si>
    <t>Pontos de Rede CAT6A</t>
  </si>
  <si>
    <t>Manutenção Preventiva CAT5E, CAT6 e CAT6A</t>
  </si>
  <si>
    <t xml:space="preserve">Manutenção corretiva CAT5E, CAT6 e CAT6A </t>
  </si>
  <si>
    <t>Desinstalação de Pontos de Rede CAT5E, CAT6 e CAT6A(infraestrutura e cabeamentos legado)</t>
  </si>
  <si>
    <t>Pontos de Energia Elétrica 10 Amperes  a 3 fios com fornecimento de cabos de 2,5 mm²</t>
  </si>
  <si>
    <t xml:space="preserve">Pontos de Energia Elétrica 20 Amperes ( IMPR, RACKS...) 3 fios, sem fornecimento de cabos </t>
  </si>
  <si>
    <t>Fusão de fibra óptica</t>
  </si>
  <si>
    <t>Lançamento de cabo ótico (Mínimo 100 Metros)</t>
  </si>
  <si>
    <t>Metro</t>
  </si>
  <si>
    <t>Lançamento de cabo CI 50 (Mínimo 50 Metros)</t>
  </si>
  <si>
    <t>Lançamento de cabo CI 30 (Mínimo 50 Metros)</t>
  </si>
  <si>
    <t>Ponto de rede GPON (múltiplos de 4 Pontos)</t>
  </si>
  <si>
    <t>Manutenção corretiva GPON</t>
  </si>
  <si>
    <t>Desinstalação de Pontos de Rede GPON-(infraestrutura e cabeamentos legado)</t>
  </si>
  <si>
    <t xml:space="preserve">Solução de Gerenciamento de Cabeamento Data Center </t>
  </si>
  <si>
    <t>Secretaria</t>
  </si>
  <si>
    <t>Localidade</t>
  </si>
  <si>
    <t>Resposavel</t>
  </si>
  <si>
    <t>E-mail</t>
  </si>
  <si>
    <t>Data</t>
  </si>
  <si>
    <t>LISTA INDICATIVA DE MATERIAIS (1)</t>
  </si>
  <si>
    <t>UNIDADE</t>
  </si>
  <si>
    <t>PREÇO UNITÁRIO - R$</t>
  </si>
  <si>
    <t>PREÇO TOTAL ANUAL - R$</t>
  </si>
  <si>
    <t>Bastidor 45mmA x 123mmL x 22mmP para telefonia em chapa inox 02 posições</t>
  </si>
  <si>
    <t>peça</t>
  </si>
  <si>
    <t>Bloco de corte p/ telefonia LSA-perfil 2/10 10 pares, Dimensões (22,2mmA x 123,8mmL x 41,3mmP)</t>
  </si>
  <si>
    <t>Cabo de aço para sustentação</t>
  </si>
  <si>
    <t>metro</t>
  </si>
  <si>
    <t>Cabo de cobre nu 10mm²</t>
  </si>
  <si>
    <t>Cabo de Fibra óptica 04 fibras multimodo  ABNT-CFOT-MM-AREO-OM2 antirroedor  totalmente seco 50/125 microns</t>
  </si>
  <si>
    <t>Cabo de Fibra óptica 06 fibras multimodo ABNT-CFOT-MM-AREO-OM2 antirroedor  totalmente seco 50/125 microns</t>
  </si>
  <si>
    <t>Cabo de Fibra óptica 12 fibras multimodo ABNT-CFOT-MM-AREO-OM2 antirroedor  totalmente seco 50/125 microns</t>
  </si>
  <si>
    <t>Cabo de Fibra óptica 06 fibras multimodo ABNT-CFOT-MM-AREO-OM3 antirroedor  totalmente seco 50/125 microns</t>
  </si>
  <si>
    <t>Cabo de Fibra óptica 12 fibras multimodo ABNT-CFOT-MM-AREO-OM3 antirroedor  totalmente seco 50/125 microns</t>
  </si>
  <si>
    <t>Cabo de telefonia CI 50X30 pares</t>
  </si>
  <si>
    <t>Cabo de telefonia CI 50X50 pares</t>
  </si>
  <si>
    <t>Cabo flexível   antichama    4 mm²  condutor em cobre ,1kv, certificado pelo Inmetro,  isolação HEPR- LSZH, cor azul</t>
  </si>
  <si>
    <t>Cabo Flexível   antichama    4 mm²  condutor em cobre ,1kv, certificado pelo Inmetro,  isolação HEPR- LSZH, cor verde ou amarelo com faixa verde</t>
  </si>
  <si>
    <t>Cabo Flexível   antichama    4 mm²  condutor em cobre ,1kv, certificado pelo Inmetro,  isolação HEPR- LSZH, cor vermelho ou preto</t>
  </si>
  <si>
    <t>Cabo Flexível   antichama    6 mm²  condutor em cobre ,1kv, certificado pelo Inmetro,  isolação HEPR- LSZH, cor azul</t>
  </si>
  <si>
    <t>Cabo Flexível   antichama    6 mm²  condutor em cobre ,1kv, certificado pelo Inmetro,  isolação EPR- LZH, cor verde ou amarelo com faixa verde</t>
  </si>
  <si>
    <t>Cabo Flexível   antichama    6 mm²  condutor em cobre ,750v , 30º C, certificado pelo Inmetro,  isolação HEPR- LSZH, cor vermelho</t>
  </si>
  <si>
    <t>Cabo Flexível   antichama 10 mm²  condutor em cobre ,1kv certificado pelo Inmetro,  isolação HEPR- LSZH, cor azul</t>
  </si>
  <si>
    <t>Cabo Flexível   antichama 10 mm²  condutor em cobre ,1kv, certificado pelo Inmetro,  isolação HEPR- LSZH, cor preto</t>
  </si>
  <si>
    <t>Cabo Flexível   antichama 10 mm²  condutor em cobre ,1kv, certificado pelo Inmetro,  isolação HEPR- LSZH, cor verde com ou sem tarja amarela</t>
  </si>
  <si>
    <t>Cabo Flexível   antichama 16 mm²  condutor em cobre ,1kv, certificado pelo Inmetro,  isolação HEPR- LSZH, cor azul</t>
  </si>
  <si>
    <t>Cabo Flexível   antichama 16 mm²  condutor em cobre ,1kv, certificado pelo Inmetro,  isolação HEPR- LSZH, cor preto</t>
  </si>
  <si>
    <t>Cabo Flexível   antichama 16 mm²  condutor em cobre ,1kv, certificado pelo Inmetro,  isolação HEPR- LSZH, cor verde com ou sem tarja amarela</t>
  </si>
  <si>
    <t>Cabo Flexível   antichama 2,5 mm²  condutor em cobre ,1kv, certificado pelo Inmetro,  isolação HEPR- LSZH, cor azul</t>
  </si>
  <si>
    <t>Cabo Flexível   antichama 2,5 mm²  condutor em cobre, 1kv, certificado pelo Inmetro,  isolação HEPR- LSZH, cor preto</t>
  </si>
  <si>
    <t>Cabo Flexível   antichama 2,5 mm²  condutor em cobre, 1kv, certificado pelo Inmetro,  isolação HEPR- LSZH, cor verde com ou sem tarja amarela</t>
  </si>
  <si>
    <t>Cabo Flexível   antichama 25 mm²  condutor em cobre ,1kv, certificado pelo Inmetro,  isolação EPR- LZH, cor azul</t>
  </si>
  <si>
    <t>Cabo Flexível   antichama 25 mm²  condutor em cobre, 1kv, certificado pelo Inmetro,  isolação EPR- LZH, cor preto</t>
  </si>
  <si>
    <t>Cabo Flexível   antichama 25 mm²  condutor em cobre, 1kv, certificado pelo Inmetro,  isolação HEPR- LSZH, cor verde com ou sem tarja amarela</t>
  </si>
  <si>
    <t>Cabo  antichama 50 mm²  condutor em cobre ,1kv, certificado pelo Inmetro,  isolação HEPR- LSZH, cor azul</t>
  </si>
  <si>
    <t>Cabo   antichama 50 mm²  condutor em cobre,1kv, certificado pelo Inmetro,  isolação HEPR- LSZH, cor preto</t>
  </si>
  <si>
    <t>Cabo   antichama 50 mm²  condutor em cobre, 1kv, certificado pelo Inmetro,  isolação HEPR- LSZH, cor verde ou amarelo com faixa verde</t>
  </si>
  <si>
    <t>Cabo  antichama 95 mm²  condutor em cobre ,1kv, certificado pelo Inmetro,  isolação HEPR- LSZH, cor azul</t>
  </si>
  <si>
    <t>Cabo   antichama 95 mm²  condutor em cobre,1kv, certificado pelo Inmetro,  isolação HEPR- LSZH, cor preto</t>
  </si>
  <si>
    <t>Cabo   antichama 95 mm²  condutor em cobre,1kv, certificado pelo Inmetro,  isolação HEPR- LSZH, cor verde ou amarelo com faixa verde</t>
  </si>
  <si>
    <t>Cabo  antichama 120 mm²  condutor em cobre ,1kv, certificado pelo Inmetro,  isolação HEPR- LSZH, cor azul</t>
  </si>
  <si>
    <t>Cabo   antichama 120 mm²  condutor em cobre,1kv, certificado pelo Inmetro,  isolação HEPR- LSZH, cor preto</t>
  </si>
  <si>
    <t>Cabo   antichama 120 mm²  condutor em cobre, 1kv, certificado pelo Inmetro,  isolação HEPR- LSZH, cor verde ou amarelo com faixa verde</t>
  </si>
  <si>
    <t>Cabo  antichama 185 mm²  condutor em cobre ,1kv, certificado pelo Inmetro,  isolação HEPR- LSZH, cor azul</t>
  </si>
  <si>
    <t>Cabo   antichama 185 mm²  condutor em cobre,1kv, certificado pelo Inmetro,  isolação HEPR- LSZH, cor preto</t>
  </si>
  <si>
    <t>Cabo   antichama 185 mm²  condutor em cobre,1kv, certificado pelo Inmetro,  isolação HEPR- LSZH, cor verde ou amarelo com faixa verde</t>
  </si>
  <si>
    <t>Tomada padrão NBR14136 de encaixe hexagonal com 03 pinos de 10A.</t>
  </si>
  <si>
    <t xml:space="preserve">Tomada padrão NBR14136 de encaixe hexagonal com 03 pinos de 20A </t>
  </si>
  <si>
    <t>Caixa de emenda óptica alta densidade com até 24 emendas</t>
  </si>
  <si>
    <t>Caixa de emenda óptica alta densidade com até 48 emendas</t>
  </si>
  <si>
    <t>Canaleta em PVC rígido 100 x 50 mm, borda arredondada e com caixas para no mínimo 02 pontos de lógica e 02 pontos de elétrica, com todos acessórios e derivações</t>
  </si>
  <si>
    <t>Chave de manobra seccionadora tripolar com fusível de 70ª</t>
  </si>
  <si>
    <t>Chave de manobra seccionadora tripolar com fusível de 100A</t>
  </si>
  <si>
    <t>Chave de manobra seccionadora tripolar com fusível de 125A</t>
  </si>
  <si>
    <t>Conversor de midia de 100/1000TX RJ-45 para 100/1000FX SC/APC Stand alone</t>
  </si>
  <si>
    <t>Cordão de fibra óptica multimodo 50/125 microns duplex de 2,5 metros com conectores SC/APC</t>
  </si>
  <si>
    <t>Cordão Duplex MM SC/SC 2,5mts</t>
  </si>
  <si>
    <t>Cordão Duplex MTRJ/SC 2,5m</t>
  </si>
  <si>
    <t>Cordão Duplex SC/LC 2,5m</t>
  </si>
  <si>
    <t>Cordão Duplex LC/LC 2,5m SM</t>
  </si>
  <si>
    <t>Cordão UTP flexível - 1 metro (Jumper cable)</t>
  </si>
  <si>
    <t>Cordão UTP flexível - 1,5 metro Cat5e cor azul, exclusivo para dados</t>
  </si>
  <si>
    <t>Cordão UTP flexível - 1,5 metro Cat5e cor amarela, exclusivo para telefonia</t>
  </si>
  <si>
    <t>Cordão UTP flexível - 1,5 metro Cat6</t>
  </si>
  <si>
    <t>Cordão UTP flexível - 1,5 metro Cat6A</t>
  </si>
  <si>
    <t>Cordão UTP flexível - 3 metros Cat6</t>
  </si>
  <si>
    <t>Cordão UTP flexível - 3 metros Cat6A</t>
  </si>
  <si>
    <t>Cordão UTP flexível - 6 metros Cat6</t>
  </si>
  <si>
    <t>Cordão UTP flexível - 6 metros Cat6A</t>
  </si>
  <si>
    <t>Cordão UTP flexível -2,5 metros Cat5e</t>
  </si>
  <si>
    <t>Cordão UTP flexível -2,5 metros Cat6A</t>
  </si>
  <si>
    <t>Cordão UTP rígido - 12 metros Cat6</t>
  </si>
  <si>
    <t>Cordão UTP rígido - 12 metros Cat6A</t>
  </si>
  <si>
    <t>Conector RJ45 fêmea categoria 5e T568A/B</t>
  </si>
  <si>
    <t>Conector RJ45 fêmea categoria 6 T568A/B</t>
  </si>
  <si>
    <t>Conector femea categoria 6A blindado</t>
  </si>
  <si>
    <t>Disjuntor termo-magnético bifásico 32A Tipo DIN</t>
  </si>
  <si>
    <t>Disjuntor termo-magnético bifásico 40A Tipo DIN</t>
  </si>
  <si>
    <t>Disjuntor termo-magnético bifásico 50A Tipo DIN</t>
  </si>
  <si>
    <t>Disjuntor termo-magnético trifásico 100A Tipo DIN</t>
  </si>
  <si>
    <t>Disjuntor termo-magnético trifásico 40A Tipo DIN</t>
  </si>
  <si>
    <t>Disjuntor termo-magnético trifásico 50A Tipo DIN</t>
  </si>
  <si>
    <t>Disjuntor termo-magnético unipolar 10 A. Tipo DIN</t>
  </si>
  <si>
    <t>Disjuntor termo-magnético unipolar 16A Tipo DIN</t>
  </si>
  <si>
    <t>Disjuntor termo-magnético unipolar 20 A .Tipo DIN</t>
  </si>
  <si>
    <t>Disjuntor termo-magnético unipolar 32A Tipo DIN</t>
  </si>
  <si>
    <t>Disjuntor termo-magnético unipolar 40A Tipo DIN</t>
  </si>
  <si>
    <t>Distribuidor Interno Óptico (D.I.O.) – 06 conectores</t>
  </si>
  <si>
    <t>Distribuidor Interno Óptico (D.I.O.) – 24 conectores</t>
  </si>
  <si>
    <t>Eletrocalha aérea simples galvanizado "U" chapa 16 lisa c/tampa em chapa 20 lisa 100x100 com septo, acessórios e derivações</t>
  </si>
  <si>
    <t>Eletrocalha aérea simples galvanizado "U" chapa 16 lisa c/tampa em chapa 20 lisa 200x100 com septo, acessórios e derivações</t>
  </si>
  <si>
    <t>Eletrocalha aérea simples galvanizado "U" chapa 16 lisa c/tampa em chapa 20 lisa 200x50 com septo, acessórios e derivações</t>
  </si>
  <si>
    <t>Eletrocalha aérea simples galvanizado "U" chapa 16 lisa c/tampa em chapa 20 lisa 300x100 com septo, acessórios e derivações</t>
  </si>
  <si>
    <t>Eletrocalha aérea simples galvanizado "U" chapa 16 lisa c/tampa em chapa 20 lisa 300x50 com septo, acessórios e derivações</t>
  </si>
  <si>
    <t>Eletrocalha aérea simples galvanizado “U” chapa 16 lisa c/tampa em chapa 20 lisa 100x50 com septo, acessórios e derivações</t>
  </si>
  <si>
    <t>Eletroduto galvanizado a fogo Pesado 3" com acessórios de fixação, derivações e terminações</t>
  </si>
  <si>
    <t>Eletroduto galvanizado Pesado 1" com acessórios de fixação, derivações e terminações</t>
  </si>
  <si>
    <t>Eletroduto galvanizado Pesado 1 1/4" com acessórios de fixação, derivações e terminações</t>
  </si>
  <si>
    <t>Eletroduto galvanizado Pesado 2" com acessórios de fixação, derivações e terminações</t>
  </si>
  <si>
    <t>Eletroduto galvanizado Pesado 3/4" com acessórios de fixação, derivações e terminações</t>
  </si>
  <si>
    <t>Cabo de telefonia Fio jumper</t>
  </si>
  <si>
    <t>Gerenciador de Cabos 1 UA, 19" 80mm</t>
  </si>
  <si>
    <t>Patch Panel Cat 5e com 24 portas RJ-45 fêmea para Rack 19”</t>
  </si>
  <si>
    <t>Patch Panel Cat 6 com 24 portas RJ-45 fêmea para Rack 19”</t>
  </si>
  <si>
    <t>Patch Panel Cat 6A com 24 portas RJ-45 fêmea para Rack 19”</t>
  </si>
  <si>
    <t>Patch Panel em "V" Cat 6 com 24 portas RJ-45 fêmea para Rack 19”</t>
  </si>
  <si>
    <t>Patch Panel em "V" Cat 6A com 24 portas RJ-45 fêmea para Rack 19”</t>
  </si>
  <si>
    <t>Plaqueta de identificação de Fibra óptica  “Cuidado Fibra optica - PRODAM-SP”.</t>
  </si>
  <si>
    <t>Poste metálico de 4 metros</t>
  </si>
  <si>
    <t>Poste metálico de 6 metros</t>
  </si>
  <si>
    <t>Protetor de surto  com tensão de operação 108V série H</t>
  </si>
  <si>
    <t>Quadro elétrico de sobrepor em aço SAE1010/1020 universal para até 6 disjuntor tipo DIN trifásico, com kit barramento principal, neutro e terra. (com fechadura)</t>
  </si>
  <si>
    <t>Quadro elétrico de sobrepor em aço SAE 1010/1020 universal para até 8 disjuntor tipo DIN trifásico , com kit barramento principal, neutro e terra(com fechadura)</t>
  </si>
  <si>
    <t>Quadro elétrico de sobrepor em aço SAE 1010/1020 universal para até 16 disjuntor tipo DIN trifásico , com kit barramento principal, neutro e terra. (com fechadura)</t>
  </si>
  <si>
    <t>Quadro elétrico de sobrepor em aço SAE1010/1020 universal para até 36 disjuntores tipo DIN bifásico, com kit barramento principal, neutro e terra(com fechadura)</t>
  </si>
  <si>
    <t xml:space="preserve"> </t>
  </si>
  <si>
    <t>Rack 19"  12U profundidade 470 mm, com uma bandeja fixa 19" (fixação fontral), uma calha de tomada com 4 tomadas 2P+T com 16 conjuntos de porca gaiola e parafuso M5x15.</t>
  </si>
  <si>
    <t>Rack 19"  22U profundidade 470 mm, com uma bandeja fixa 19" (fixação fontral), uma calha de tomada com 4 tomadas 2P+T com 16 conjuntos de porca gaiola e parafuso M5x15.</t>
  </si>
  <si>
    <t>Rack 19" x 44 UA x 570 mm, pintura epoxi na cor bege, porta em acrílico com chave, teto com 2 ventiladores bivolt, 01 bandeja fixa, 01 bandeja deslizante , 01 régua com 12 tomadas, kit com 50 parafusos e porcas gaiola M5x15.</t>
  </si>
  <si>
    <t>Rack 19” x 12 UA x 570 mm, pintura epoxí na cor bege, pré montado para fixação em parede, porta em acrílico com chave, teto com 2 ventiladores bivolt, 01 bandeja fixa, 01 régua com 6 tomadas, kit com 32 parafusos e porcas gaiola M5x15.</t>
  </si>
  <si>
    <t>Rack 19” x 12 UA x 770 mm, pintura epoxí na cor bege, pré montado para fixação em parede, porta em acrílico com chave, teto com 2 ventiladores bivolt, 01 bandeja fixa, 01 régua com 6 tomadas, kit com 32 parafusos e porcas gaiola M5x15.</t>
  </si>
  <si>
    <t>Rack 19” x 44 UA x 770 mm, pintura epoxí na cor bege, pré montado para fixação em parede, porta em acrílico com chave, teto com 2 ventiladores bivolt, 01 bandeja fixa, 01 régua com 6 tomadas, kit com 32 parafusos e porcas gaiola M5x15.</t>
  </si>
  <si>
    <t>Rack 19” x 44 UA x 870 mm, pintura epoxí na cor bege, pré montado para fixação em parede, porta em acrílico com chave, teto com 2 ventiladores bivolt, 01 bandeja fixa, 01 régua com 6 tomadas, kit com 32 parafusos e porcas gaiola M5x15.</t>
  </si>
  <si>
    <t>Rack 19” x 44 UA x 970 mm, pintura epoxí na cor bege, pré montado para fixação em parede, porta em acrílico com chave, teto com 2 ventiladores bivolt, 01 bandeja fixa, 01 régua com 6 tomadas, kit com 32 parafusos e porcas gaiola M5x15.</t>
  </si>
  <si>
    <t>Seal Tubo 2"</t>
  </si>
  <si>
    <t>Seal Tubo 1 1/4"</t>
  </si>
  <si>
    <t>Seal Tubo 1"</t>
  </si>
  <si>
    <t>Seal Tubo 3/4"</t>
  </si>
  <si>
    <t>Suporte completo para telefonia (2 pares) tipo BLE – 2 (roldana, suporte, parafuso e caixa BLE 2)</t>
  </si>
  <si>
    <t>Surface Box 02 portas</t>
  </si>
  <si>
    <t>Tubo corrugado em  PVC 1”</t>
  </si>
  <si>
    <t>Tubo corrugado em  PVC 2”</t>
  </si>
  <si>
    <t>Eletroduto galvanizado médio 1" com acessórios de fixação, derivações e terminações</t>
  </si>
  <si>
    <t>Eletroduto galvanizado médio 3/4" com acessórios de fixação, derivações e terminações</t>
  </si>
  <si>
    <t>Patch Panel de VOZ Cat.3 50 portas</t>
  </si>
  <si>
    <t>Barra de cobre para aterramento com 3 metros</t>
  </si>
  <si>
    <t>Conector split bolt 10mm²</t>
  </si>
  <si>
    <t>Caixa de inspeção de PVC com tampa</t>
  </si>
  <si>
    <t>Rodapé em alumínio 45x73x3000mm com tampa, acessórios de fixação, conexão, derivação e terminação para até 02 Pontos de dados/voz e 02 tomadas elétricas</t>
  </si>
  <si>
    <t>Canaleta do tipo rodapé metálico de 100x40x2000mm com tampa em pintura eletrostática na cor branca, com acessórios de fixação, conexão, derivação e terminação para até 02 pontos de dados/voz e 02 tomadas elétricas</t>
  </si>
  <si>
    <t>Painel compacto de 1U de altura e 24 posições descarregadas, em aço e termoplástico de alto impacto, com todas as posições nureradas com acessórios de fixação e ícones diferenciados e guia traseiro</t>
  </si>
  <si>
    <t>Guia de cabo vertical para rack (organizador de cabo)</t>
  </si>
  <si>
    <t>Bandeja fixa padrão 19” (polegadas)(preta ou bege), utilizada em rack aberto ou fechado, para instalação de equipamentos de pequeno porte</t>
  </si>
  <si>
    <t>Cabo Óptico CFOI-BLI-A/B-EO 4F LSZH AZ (Fiber-Lan Indoor)</t>
  </si>
  <si>
    <t>Cabo Óptico CFOI-BLI-A/B-EO 6F LSZH AZ (Fiber-Lan Indoor)</t>
  </si>
  <si>
    <t>Cabo Óptico CFOI-BLI-A/B-EO 12F LSZH AZ (Fiber-Lan Indoor)</t>
  </si>
  <si>
    <t>Cabo Óptico CFOI-BLI-A/B-EO 12F LSZH AZ (Fiber-Lan outdoor)</t>
  </si>
  <si>
    <t>Cabo Óptico CFOI-BLI- A/B - CM-01-BA- LSZH-RIB (Micro Indoor Lowfriction)</t>
  </si>
  <si>
    <t>Cordão Monofibra Conectorizado BLI A/B G-657A SC-APC/SC-APC 1,5 m - LSZH - Branco - D3</t>
  </si>
  <si>
    <t>Cordão Monofibra Conectorizado BLI A/B G-657A SC-APC/SC-UPC 2,5 m - LSZH - Branco - D3</t>
  </si>
  <si>
    <t>Cordão Monofibra SM G-657A SC-APC/SC-APC 1.5M - Branco - D3 LSZH</t>
  </si>
  <si>
    <t>Extensão Monofibra SM G-657A SC-APC 20.0M - Branco - D3 - LSZH</t>
  </si>
  <si>
    <t>Extensão Monofibra SM G-657A SC-APC 30.0M - Branco - D3 - LSZH</t>
  </si>
  <si>
    <t>Extensão Óptica Conectorizado 02F BLI A/B G-657A SC-APC 1,5 m - COG - Branco - D0.9</t>
  </si>
  <si>
    <t>Mini Caixa de Emenda Optica 12F Aerea / Subterrânea</t>
  </si>
  <si>
    <t>Roseta Flex Óptica 1P Sobrepor c/ 1 Adap. SC-APC - Branco</t>
  </si>
  <si>
    <t>Kit de Adaptadores Ópticos 01F SM SC-APC com Shutter Lateral</t>
  </si>
  <si>
    <t>Conectores ópticos de campo(fast conector) sm sc-apc conector para cabos flat</t>
  </si>
  <si>
    <t>Divisor Optico PLC Modular 1X4 BLI A/B G-657A SC-APC/SC-APC</t>
  </si>
  <si>
    <t>Divisor Optico PLC Modular 1X8 BLI A/B G-657A SC-APC/SC-APC</t>
  </si>
  <si>
    <t>Bastidor 19" com Divisor Optico 1 X 1X16 G.657A SC-APC/SC-APC</t>
  </si>
  <si>
    <t>Bastidor 19" com Divisor Optico 1 X 2X16 G.657A SC-APC/SC-APC</t>
  </si>
  <si>
    <t>Bastidor 19" com Divisor Optico 1 X 1X32 G.657A SC-APC/SC-APC</t>
  </si>
  <si>
    <t>Bastidor 19" com Divisor Optico 1 X 2X32 G.657A SC-APC/SC-APC</t>
  </si>
  <si>
    <t>Caixa de Atendimento Óptica-CTO - Ftth 8 portas - Montada</t>
  </si>
  <si>
    <t>Caixa de Atendimento Óptica-CTO - Ftth 16 portas - Montada</t>
  </si>
  <si>
    <t>Distribuidor Interno Óptico Mini DIO - 16 portas</t>
  </si>
  <si>
    <t>Distribuição Interna Óptica - 12 FO</t>
  </si>
  <si>
    <t>Distribuição Interna Óptica - 48 FO para rack de 19"</t>
  </si>
  <si>
    <t>Caixa Terminação Óptica CTO 8 FO 1:8 Montada</t>
  </si>
  <si>
    <t>Caixa Terminação Óptica CTO 16 FO 1:16 Montada</t>
  </si>
  <si>
    <t>Cordão Óptico Pré-Conectorizado até 12 fibras</t>
  </si>
  <si>
    <t>Kit SC-UPC</t>
  </si>
  <si>
    <t>Rack Aberto 19"x 45U Enterprise</t>
  </si>
  <si>
    <t>Rack Fechado de Parede Enterprise 6U X 600MM X 450MM - Desmontado</t>
  </si>
  <si>
    <t xml:space="preserve">Guia Vertical Enterprise </t>
  </si>
  <si>
    <t>Guia Superior Enterprise</t>
  </si>
  <si>
    <t>Etiqueta auto adesiva para cabo UTP 1.00 x1.33 (25.4 x 33.8 mm ) na cor Branco</t>
  </si>
  <si>
    <t>unidade</t>
  </si>
  <si>
    <t>Etiqueta auto adesiva para patch panel  0.61" x 0.33", Laser na cor Branco</t>
  </si>
  <si>
    <t>Patch Panel Inteligente Modular com 24 portas - 1U</t>
  </si>
  <si>
    <t>Módulo Inteligente para Patch Panel de 24 Portas RJ-45</t>
  </si>
  <si>
    <t>Patch Cord Inteligente - CAT 6 - U/UTP (LSZH)</t>
  </si>
  <si>
    <t>Patch Cord Inteligente - CAT 6A - F/UTP (LSZH)</t>
  </si>
  <si>
    <t>Módulo Inteligente para Cassete de 06 Portas LC-Duplpex / MPO</t>
  </si>
  <si>
    <t>Cordão Óptico Inteligente LC-LC</t>
  </si>
  <si>
    <t>Módulos de Controle de Gerenciamento de 1U</t>
  </si>
  <si>
    <t>Módulos de Controle de Gerenciamento de 2U com LCD</t>
  </si>
  <si>
    <t>Software para Gerenciamento</t>
  </si>
  <si>
    <t>LISTA INDICATIVA DE SERVIÇOS (2)</t>
  </si>
  <si>
    <t>Instalação de novos Pontos estruturados, que consiste em 02 pontos de Rede Cat 5E com fornecimento de cabos LSZH de até 90m, Conector Femea e 02 Pontos de Energia Elétrica a 3 fios com fornecimento de cabos de 2,5 mm² e tomada de 10 A do QDF até a tomada, conectorização e Mão de Obra, em horário comercial.</t>
  </si>
  <si>
    <t>Instalação de novos Pontos estruturados, que consiste em 02 pontos de Rede Cat 6 com fornecimento de cabos LSZH de até 90m, Conector Femea e 02 Pontos de Energia Elétrica a 3 fios com fornecimento de cabos de 2,5 mm² e tomada de 10 A do QDF até a tomada, conectorização e Mão de Obra, em horário comercial.</t>
  </si>
  <si>
    <t>Instalação de novos Pontos de Rede Cat 5E com fornecimento de cabos LSZH de até 90m, Conector Femea, conectorização e Mão de Obra, em horário comercial.</t>
  </si>
  <si>
    <t>Instalação de novos Pontos de Rede Cat 6 com fornecimento de cabos LSZH de até 90m, Conector Femea, conectorização e Mão de Obra, em horário comercial.</t>
  </si>
  <si>
    <t>Instalação de novos Pontos de Rede Cat 6A com fornecimento de cabos LSZH de até 90m, Conector Femea, conectorização e Mão de Obra, em horário comercial.</t>
  </si>
  <si>
    <t>Manutenção Preventiva em Racks de Pontos de Rede Cat5E ou Cat6 com Mão de Obra, em horário comercial.</t>
  </si>
  <si>
    <t>Manutenção corretiva em Pontos de Rede Cat5E ou Cat6 com Mão de Obra, em horário comercial.</t>
  </si>
  <si>
    <t>Desinstalação de Pontos de Rede Cat5E ou Cat6 com Mão de Obra e descarte dos materiais, em horário comercial.</t>
  </si>
  <si>
    <t>Instalação de novos Pontos de Energia Elétrica a 3 fios com fornecimento de cabos de 2,5 mm² e tomada de 10 A do QDF até a tomada , conectorização e Mão de Obra, em horário comercial.</t>
  </si>
  <si>
    <t>Instalação de novos Pontos de Energia Elétrica a 3 fios sem fornecimento de cabos de 2,5 mm² , tomada de 20 A  até QDF , conectorização  e Mão de Obra, em horário comercial.</t>
  </si>
  <si>
    <t>Fusão de fibra óptica multimodo, em horário comercial.</t>
  </si>
  <si>
    <t>Lançamento de cabo CI 30 ou 50 pares em infraestrutura existente incluindo a conectorização (voice panel p/ bloco de corte, voice panel p/ voice panel ou bloco de corte p/bloco de corte),  em horário comercial.</t>
  </si>
  <si>
    <t>Lançamento de cabo optico (até 12 FO) em infraestrutura existente com fornecimento de placas de identificação, em horário comercial.</t>
  </si>
  <si>
    <t>Ativação de ponto de rede Optica, com tecnologia multiponto (GPON), em horário comercial.</t>
  </si>
  <si>
    <t>Serviços de Ativação do Sistema de Gerenciamento em horário comercial</t>
  </si>
  <si>
    <t>Instalação de novos Pontos estruturados, que consiste em 02 pontos de Rede Cat 5E com fornecimento de cabos LSZH de até 90m, Conector Femea e 02 Pontos de Energia Elétrica a 3 fios com fornecimento de cabos de 2,5 mm² e tomada de 10 A do QDF até a tomada, conectorização e Mão de Obra, a serem realizados de segunda-feira a sexta-feira após horário comercial das 17:01 ás 08:00 horas e em sábados, domingos, feriados e pontes de feriados.</t>
  </si>
  <si>
    <t>Instalação de novos Pontos estruturados, que consiste em 02 pontos de Rede Cat 6 com fornecimento de cabos LSZH de até 90m, Conector Femea e 02 Pontos de Energia Elétrica a 3 fios com fornecimento de cabos de 2,5 mm² e tomada de 10 A do QDF até a tomada, conectorização e Mão de Obra, a serem realizados de segunda-feira a sexta-feira após horário comercial das 17:01 ás 08:00 horas e em sábados, domingos, feriados e pontes de feriados.</t>
  </si>
  <si>
    <t>Instalação de novos Pontos de Rede Cat 5E com fornecimento de cabos LSZH de até 90m, Conector Femea, conectorização e Mão de Obra, a serem realizados de segunda-feira a sexta-feira após horário comercial das 17:01 ás 08:00 horas e em sábados, domingos, feriados e pontes de feriados.</t>
  </si>
  <si>
    <t>Instalação de novos Pontos de Rede Cat 6 com fornecimento de cabos LSZH de até 90m, Conector Femea, conectorização e Mão de Obra, a serem realizados de segunda-feira a sexta-feira após horário comercial das 17:01 ás 08:00 horas e em sábados, domingos, feriados e pontes de feriados.</t>
  </si>
  <si>
    <t>Instalação de novos Pontos de Rede Cat 6A com fornecimento de cabos LSZH de até 90m, Conector Femea, conectorização e Mão de Obra, a serem realizados de segunda-feira a sexta-feira após horário comercial das 17:01 ás 08:00 horas e em sábados, domingos, feriados e pontes de feriados.</t>
  </si>
  <si>
    <t>Manutenção Preventiva em Racks de Pontos de Rede Cat5E ou Cat6 com Mão de Obra, a serem realizados de segunda-feira a sexta-feira após horário comercial das 17:01 ás 08:00 horas e em sábados, domingos, feriados e pontes de feriados.</t>
  </si>
  <si>
    <t>Manutenção corretiva em Pontos de Rede Cat5E ou Cat6 com Mão de Obra, a serem realizados de segunda-feira a sexta-feira após horário comercial das 17:01 ás 08:00 horas e em sábados, domingos, feriados e pontes de feriados.</t>
  </si>
  <si>
    <t>Desinstalação de Pontos de Rede Cat5E ou Cat6 com Mão de Obra e descarte dos materiais, a serem realizados de segunda-feira a sexta-feira após horário comercial das 17:01 ás 08:00 horas e em sábados, domingos, feriados e pontes de feriados.</t>
  </si>
  <si>
    <t>Instalação de novos Pontos de Energia Elétrica a 3 fios com fornecimento de cabos de 2,5 mm² , tomada de 10 A do QDF até a tomada, conectorização e Mão de Obra, a serem realizados de segunda-feira a sexta-feira após horário comercial das 17:01 ás 08:00 horas e em sábados, domingos, feriados e pontes de feriados.</t>
  </si>
  <si>
    <t>Instalação de novos Pontos de Energia Elétrica a 3 fios sem fornecimento de cabos do QDF até a tomada de 20A, conectorização  e Mão de Obra, a serem realizados de segunda-feira a sexta-feira após horário comercial das 17:01 ás 08:00 horas e em sábados, domingos, feriados e pontes de feriados.</t>
  </si>
  <si>
    <t>Fusão de fibra óptica multimodo, a serem realizados de segunda-feira a sexta-feira após horário comercial das 17:01 ás 08:00 horas e em sábados, domingos, feriados e pontes de feriados.</t>
  </si>
  <si>
    <t>Lançamento de cabo CI 30 ou 50 pares em infraestrutura existente incluindo a conectorização(voice panel p/ bloco de corte, voice panel p/ voice panel ou bloco de corte p/bloco de corte), a serem realizados de segunda-feira a sexta-feira após horário comercial das 17:01 ás 08:00 horas e em sábados, domingos, feriados e pontes de feriados.</t>
  </si>
  <si>
    <t>Lançamento de cabo optico (até 12 FO) em infraestrutura existente com fornecimento de placas de identificação, a serem realizados de segunda-feira a sexta-feira após horário comercial das 17:01 ás 08:00 horas e em sábados, domingos, feriados e pontes de feriados.</t>
  </si>
  <si>
    <t>Ativação de ponto de rede Optica, com tecnologia multiponto (GPON), a serem realizados de segunda-feira a sexta-feira após horário comercial das 17:01 ás 08:00 horas e em sábados, domingos, feriados e pontes de feriados.</t>
  </si>
  <si>
    <t>Serviços de Ativação do Sistema de Gerenciamento a serem realizados de segunda-feira a sexta-feira após horário comercial das 17:01 ás 08:00 horas e em sábados, domingos, feriados e pontes de feriados.</t>
  </si>
  <si>
    <t>Manutenção corretiva caixa de terminação CTO da rede passiva (PON), a serem realizados de segunda-feira a sexta-feira após horário comercial das 17:01 às 08:00 horas e em sábados, domingos, feriados e pontes de feriados.</t>
  </si>
  <si>
    <t>Serviço de instalação e configuração de OLT,  com fornecimento de mão de obra a serem realizados em horário comercial.</t>
  </si>
  <si>
    <t>Serviço de instalação e configuração de OLT,  com fornecimento de mão de obra, a serem realizados de segunda-feira a sexta-feira após horário comercial das 17:01 às 08:00 horas e em sábados, domingos, feriados e pontes de feriados.</t>
  </si>
  <si>
    <t>Serviço de instalação e configuração de ONT/ONU,  com fornecimento de mão de obra a serem realizados em horário comercial.</t>
  </si>
  <si>
    <t>Serviço de instalação e configuração de ONT/ONU,  com fornecimento de mão de obra, a serem realizados de segunda-feira a sexta-feira após horário comercial das 17:01 às 08:00 horas e em sábados, domingos, feriados e pontes de feriados.</t>
  </si>
  <si>
    <t>Desinstalação de pontos de rede GPON em horário comercial</t>
  </si>
  <si>
    <t>Desinstalação de pontos de rede GPON, a serem realizados de segunda-feira a sexta-feira após horário comercial das 17:01 às 08:00 horas e em sábados, domingos, feriados e pontes de feriados.</t>
  </si>
  <si>
    <t>Treinamento Teórico Básico de Operação do Software de Gerenciamento de Camada Física realizado em sala de apresentação apropriada para até 10 pessoas, com carga horária de no mínimo 16 horas.</t>
  </si>
  <si>
    <t>Treinamento Prático Operacional do Software de Gerenciamento de Camada Física. “On the job training” para 2 pessoas, com carga horária de no mínimo 16 horas.</t>
  </si>
  <si>
    <t>LISTA INDICATIVA DE EQUIPAMENTOS ATIVOS GPON-OLT/ONT(3)</t>
  </si>
  <si>
    <t>OLT TIPO I - Modular Chassi inicial 16 portas</t>
  </si>
  <si>
    <t>PÇ</t>
  </si>
  <si>
    <t>OLT TIPO II - 1U - 8 portas</t>
  </si>
  <si>
    <t>ONT TIPO I - Modem Óptico GPON - 4 portas</t>
  </si>
  <si>
    <t>ONT TIPO II - Modem Óptico GPON POE - 4 portas</t>
  </si>
  <si>
    <t>ONT TIPO III - Modem Óptico GPON POE - 1 porta</t>
  </si>
  <si>
    <t>DESCRIÇÃO DO SERVIÇO</t>
  </si>
  <si>
    <t>INDICAÇÃO</t>
  </si>
  <si>
    <t>Item composto por 2 pontos de rede (até 90 metros) mais 2 pontos elétricos (em circuito compartilhado de ate 8 tomadas) visando suprir a necessidade de uma estação de trabalho, vide itens 1 e 16 da planilha de serviços.</t>
  </si>
  <si>
    <t>O ponto estruturado é indicado para ser utilizado onde há a necessidade de integração dos serviços de telefonia que fazem uso de PABX tradicional</t>
  </si>
  <si>
    <t>Item composto por 2 pontos de rede mais 2 pontos elétricos (em circuito compartilhado de ate 8 tomadas) visando suprir a necessidade de uma estação de trabalho, vide itens 2 e 17 da planilha de serviços.</t>
  </si>
  <si>
    <t>Item composto por 1 ponto de rede(até 90 metros), vide itens 03 da planilha de serviços.</t>
  </si>
  <si>
    <t>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t>
  </si>
  <si>
    <t>Item composto por 1 ponto de rede(até 90 metros), vide itens 04 da planilha de serviços.</t>
  </si>
  <si>
    <t>Item composto por 1 ponto de rede(até 90 metros), vide itens 05 da planilha de serviços.</t>
  </si>
  <si>
    <t>Serviços para reorganização dos racks, verificação dos pontos de rede(identificação e testes)</t>
  </si>
  <si>
    <t>O serviço é indicado para ambientes onde devido ao tempo de uso os racks ficaram desorganizados e os pontos de rede conectados a esse rack não estão funcionando ou perderam a identificação, caberá ao prestador de serviço organizar o rack, identificar e testar os pontos de rede ligados a este rack e se for necessário fazer a substituição do cabo de rede(orientado o cliente a adquirir a instalação de um novo ponto de rede.)</t>
  </si>
  <si>
    <t>Manutenção corretiva do ponto de rede</t>
  </si>
  <si>
    <t>Serviço indicado para a correções simples tais como substituição, teste e identificação do ponto de rede(Caso não seja possível aproveitar o cabo existente, o cliente terá que contratar a instalação de um novo ponto de rede)</t>
  </si>
  <si>
    <t>Desinstalação de infraestrutura de rede e pontos de rede antiga instalada no cliente</t>
  </si>
  <si>
    <t>Esse serviço prevê a remoção de todos os pontos de rede inclusive a infraestrutura da rede antiga, a remoção e o descarte do material será de responsabilidade da contratada.</t>
  </si>
  <si>
    <t>Instalação de pontos de energia elétrica com tomadas de 10A em circuitos compartilhado com ate 8 tomadas por circuito.</t>
  </si>
  <si>
    <t>Indicado para pontos avulsos de tomadas elétrica em pontos de rede em que não esta prevista a instalação de tomada(indicado para estações de trabalho, notebooks e equipamentos que não exijam circuito elétrico independente)</t>
  </si>
  <si>
    <t>Instalação de pontos de energia elétrica com tomadas de 20A em circuito elétrico exclusivo.</t>
  </si>
  <si>
    <t>Indicado para impressoras, racks e equipamentos que exijam tomadas com circuito elétrico independente.</t>
  </si>
  <si>
    <t>Fusão de fibra óptica.</t>
  </si>
  <si>
    <t>Utilizado para emenda de cabos opticos geralmente utilizado em caixas de emenda e distribuidores opticos, para a aquisição deste serviço há que se ter em mente que  dependera do numero de vias a fibra possui(ex para um cabo de 4 vias haverá a necessidade de contratação de no mínimo 8 fusões - duas fusões para cada via do cabo )</t>
  </si>
  <si>
    <t>Lançamento de cabo optico, passagem de cabo optico para ligar equipamentos ponto a ponto.</t>
  </si>
  <si>
    <t>Geralmente este serviço recomendado  para interligação de prédios ou andares, no caso da pesquisa de demanda o cliente devera informar quantos segmentos precisa e o total da metragem de todos os segmentos bem como a quantidade de vias (4, 6 ou 12)</t>
  </si>
  <si>
    <t>Lançamento de cabo CI 50 pares para telefonia</t>
  </si>
  <si>
    <t xml:space="preserve">Serviço indicado para a estruturação do cabeamento de telefonia e poderá complementar a instalação da rede com cabeamento estruturado, interligando o PABX ao rack concentrador, o cliente devera informar a metragem estimada para o projeto. (Somente contratar se fizer uso de PABX) </t>
  </si>
  <si>
    <t>Lançamento de cabo CI 30 pares para telefonia</t>
  </si>
  <si>
    <t xml:space="preserve">Cada ponto GPON poderá suprir até 4 pontos de rede, se a quantidade de pontos for de 120 pontos recomendamos dividir por 2,5 que é a taxa media de ocupação do ativo de rede ONU,  (ex: 120 / 2,5 = 48 pontos GPON ). </t>
  </si>
  <si>
    <t xml:space="preserve">Serviço recomendado para manutenção em um ponto GPON(troca do conector, identificação do ponto, substituição do cabo do divisor optio até ponto GPON ) </t>
  </si>
  <si>
    <t>Desinstalação de Pontos de Rede GPON</t>
  </si>
  <si>
    <t>Serviço de desinstalação de pontos GPON inclusive remoção e descarte de materiais.</t>
  </si>
  <si>
    <t xml:space="preserve">
Solução de gerenciamento de camada física, que  proporcionando monitorar e mapear sua infraestrutura física de forma segura, por meio de plataforma de software e hardware que detecte instantaneamente qualquer atividade não autorizada e ajuda na resolução de problemas em seu data center. </t>
  </si>
  <si>
    <t> unidade</t>
  </si>
  <si>
    <t>QTDE.</t>
  </si>
  <si>
    <t>QUANT.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</si>
</sst>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rgb="FF000000"/>
      <name val="Arial"/>
      <family val="2"/>
    </font>
    <font>
      <sz val="10"/>
      <color rgb="FFFF0000"/>
      <name val="Arial"/>
      <family val="2"/>
    </font>
    <font>
      <b/>
      <sz val="10"/>
      <color theme="1"/>
      <name val="Arial"/>
      <family val="2"/>
    </font>
    <font>
      <b/>
      <sz val="10"/>
      <color rgb="FF000000"/>
      <name val="Arial"/>
      <family val="2"/>
    </font>
    <font>
      <sz val="10"/>
      <color theme="1"/>
      <name val="Arial"/>
      <family val="2"/>
    </font>
    <font>
      <sz val="10"/>
      <name val="Arial"/>
      <family val="2"/>
    </font>
    <font>
      <sz val="11"/>
      <name val="Calibri"/>
      <family val="2"/>
      <scheme val="minor"/>
    </font>
    <font>
      <b/>
      <sz val="10"/>
      <name val="Arial"/>
      <family val="2"/>
    </font>
    <font>
      <b/>
      <sz val="11"/>
      <color theme="1"/>
      <name val="Calibri"/>
      <family val="2"/>
      <scheme val="minor"/>
    </font>
    <font>
      <sz val="9"/>
      <color theme="1"/>
      <name val="Calibri"/>
      <family val="2"/>
      <scheme val="minor"/>
    </font>
    <font>
      <b/>
      <sz val="18"/>
      <color theme="1"/>
      <name val="Calibri"/>
      <family val="2"/>
      <scheme val="minor"/>
    </font>
    <font>
      <b/>
      <sz val="11"/>
      <name val="Calibri"/>
      <family val="2"/>
      <scheme val="minor"/>
    </font>
    <font>
      <b/>
      <sz val="11"/>
      <color theme="1"/>
      <name val="Arial"/>
      <family val="2"/>
    </font>
    <font>
      <sz val="11"/>
      <color theme="1"/>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diagonalUp="1">
      <left/>
      <right style="medium">
        <color indexed="64"/>
      </right>
      <top style="medium">
        <color indexed="64"/>
      </top>
      <bottom style="medium">
        <color indexed="64"/>
      </bottom>
      <diagonal style="medium">
        <color indexed="64"/>
      </diagonal>
    </border>
    <border diagonalUp="1">
      <left/>
      <right style="medium">
        <color indexed="64"/>
      </right>
      <top/>
      <bottom style="medium">
        <color indexed="64"/>
      </bottom>
      <diagonal style="medium">
        <color indexed="64"/>
      </diagonal>
    </border>
    <border diagonalUp="1">
      <left/>
      <right style="medium">
        <color indexed="64"/>
      </right>
      <top/>
      <bottom/>
      <diagonal style="medium">
        <color indexed="64"/>
      </diagonal>
    </border>
    <border diagonalUp="1">
      <left style="thin">
        <color auto="1"/>
      </left>
      <right style="thin">
        <color auto="1"/>
      </right>
      <top/>
      <bottom style="thin">
        <color auto="1"/>
      </bottom>
      <diagonal style="medium">
        <color indexed="64"/>
      </diagonal>
    </border>
    <border diagonalUp="1">
      <left style="thin">
        <color auto="1"/>
      </left>
      <right style="thin">
        <color auto="1"/>
      </right>
      <top style="thin">
        <color auto="1"/>
      </top>
      <bottom style="thin">
        <color auto="1"/>
      </bottom>
      <diagonal style="medium">
        <color indexed="64"/>
      </diagonal>
    </border>
    <border diagonalUp="1">
      <left style="thin">
        <color auto="1"/>
      </left>
      <right style="thin">
        <color auto="1"/>
      </right>
      <top style="thin">
        <color auto="1"/>
      </top>
      <bottom/>
      <diagonal style="medium">
        <color indexed="64"/>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style="medium">
        <color indexed="64"/>
      </right>
      <top/>
      <bottom/>
      <diagonal style="medium">
        <color indexed="64"/>
      </diagonal>
    </border>
  </borders>
  <cellStyleXfs count="1">
    <xf numFmtId="0" fontId="0" fillId="0" borderId="0"/>
  </cellStyleXfs>
  <cellXfs count="130">
    <xf numFmtId="0" fontId="0" fillId="0" borderId="0" xfId="0"/>
    <xf numFmtId="0" fontId="9" fillId="0" borderId="0" xfId="0" applyFont="1"/>
    <xf numFmtId="0" fontId="0" fillId="2" borderId="7" xfId="0" applyFill="1" applyBorder="1" applyAlignment="1">
      <alignment horizontal="left" vertical="center"/>
    </xf>
    <xf numFmtId="0" fontId="0" fillId="2" borderId="7" xfId="0" applyFill="1" applyBorder="1" applyAlignment="1">
      <alignment horizontal="left" vertical="center" wrapText="1"/>
    </xf>
    <xf numFmtId="0" fontId="10" fillId="0" borderId="0" xfId="0" applyFont="1" applyAlignment="1">
      <alignment horizontal="left" wrapText="1"/>
    </xf>
    <xf numFmtId="0" fontId="10" fillId="0" borderId="1" xfId="0" applyFont="1" applyBorder="1"/>
    <xf numFmtId="0" fontId="9" fillId="2" borderId="9" xfId="0" applyFont="1" applyFill="1" applyBorder="1" applyAlignment="1">
      <alignment horizontal="center"/>
    </xf>
    <xf numFmtId="0" fontId="9" fillId="2" borderId="10" xfId="0" applyFont="1" applyFill="1" applyBorder="1" applyAlignment="1">
      <alignment horizontal="center"/>
    </xf>
    <xf numFmtId="1" fontId="9" fillId="2" borderId="7" xfId="0" applyNumberFormat="1" applyFont="1" applyFill="1" applyBorder="1" applyAlignment="1">
      <alignment horizontal="center" vertical="center"/>
    </xf>
    <xf numFmtId="0" fontId="0" fillId="2" borderId="16" xfId="0" applyFill="1" applyBorder="1"/>
    <xf numFmtId="0" fontId="0" fillId="2" borderId="15" xfId="0" applyFill="1" applyBorder="1" applyAlignment="1">
      <alignment horizontal="center" vertical="center"/>
    </xf>
    <xf numFmtId="0" fontId="0" fillId="2" borderId="18" xfId="0" applyFill="1" applyBorder="1" applyAlignment="1">
      <alignment horizontal="left" vertical="center"/>
    </xf>
    <xf numFmtId="1" fontId="9" fillId="2" borderId="18" xfId="0" applyNumberFormat="1" applyFont="1" applyFill="1" applyBorder="1" applyAlignment="1">
      <alignment horizontal="center" vertical="center"/>
    </xf>
    <xf numFmtId="1" fontId="9" fillId="2" borderId="19" xfId="0" applyNumberFormat="1" applyFont="1" applyFill="1" applyBorder="1" applyAlignment="1">
      <alignment horizontal="center" vertical="center"/>
    </xf>
    <xf numFmtId="0" fontId="0" fillId="2" borderId="17" xfId="0" applyFill="1" applyBorder="1" applyAlignment="1">
      <alignment horizontal="center" vertical="center"/>
    </xf>
    <xf numFmtId="0" fontId="10" fillId="0" borderId="0" xfId="0" applyFont="1"/>
    <xf numFmtId="0" fontId="6" fillId="0" borderId="2" xfId="0" applyFont="1" applyBorder="1" applyAlignment="1">
      <alignment vertical="center" wrapText="1"/>
    </xf>
    <xf numFmtId="0" fontId="7" fillId="0" borderId="0" xfId="0" applyFont="1"/>
    <xf numFmtId="0" fontId="6" fillId="0" borderId="3" xfId="0" applyFont="1" applyBorder="1" applyAlignment="1">
      <alignment horizontal="right" vertical="center" wrapText="1"/>
    </xf>
    <xf numFmtId="0" fontId="6" fillId="0" borderId="4" xfId="0" applyFont="1" applyBorder="1" applyAlignment="1">
      <alignment vertical="center" wrapText="1"/>
    </xf>
    <xf numFmtId="2" fontId="0" fillId="0" borderId="0" xfId="0" applyNumberFormat="1"/>
    <xf numFmtId="0" fontId="6" fillId="0" borderId="4" xfId="0" applyFont="1" applyBorder="1" applyAlignment="1">
      <alignment vertical="center"/>
    </xf>
    <xf numFmtId="0" fontId="1" fillId="0" borderId="4" xfId="0" applyFont="1" applyBorder="1" applyAlignment="1">
      <alignment vertical="center" wrapText="1"/>
    </xf>
    <xf numFmtId="0" fontId="6" fillId="0" borderId="8" xfId="0" applyFont="1" applyBorder="1" applyAlignment="1">
      <alignment vertical="center" wrapText="1"/>
    </xf>
    <xf numFmtId="0" fontId="1" fillId="0" borderId="3" xfId="0" applyFont="1" applyBorder="1" applyAlignment="1">
      <alignment vertical="center" wrapText="1"/>
    </xf>
    <xf numFmtId="0" fontId="1" fillId="0" borderId="7" xfId="0" applyFont="1" applyBorder="1" applyAlignment="1">
      <alignment vertical="center" wrapText="1"/>
    </xf>
    <xf numFmtId="0" fontId="1" fillId="0" borderId="21" xfId="0" applyFont="1" applyBorder="1" applyAlignment="1">
      <alignment vertical="center" wrapText="1"/>
    </xf>
    <xf numFmtId="0" fontId="1" fillId="0" borderId="8" xfId="0" applyFont="1" applyBorder="1" applyAlignment="1">
      <alignment vertical="center" wrapText="1"/>
    </xf>
    <xf numFmtId="1" fontId="7" fillId="0" borderId="0" xfId="0" applyNumberFormat="1" applyFont="1"/>
    <xf numFmtId="0" fontId="6" fillId="0" borderId="3" xfId="0" applyFont="1" applyBorder="1" applyAlignment="1">
      <alignment vertical="center" wrapText="1"/>
    </xf>
    <xf numFmtId="0" fontId="1" fillId="0" borderId="2" xfId="0" applyFont="1" applyBorder="1" applyAlignment="1">
      <alignment vertical="center" wrapText="1"/>
    </xf>
    <xf numFmtId="0" fontId="6" fillId="0" borderId="4" xfId="0" applyFont="1" applyBorder="1" applyAlignment="1">
      <alignment horizontal="justify"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6" fillId="0" borderId="1" xfId="0" applyFont="1" applyBorder="1" applyAlignment="1">
      <alignment horizontal="justify" vertical="center" wrapText="1"/>
    </xf>
    <xf numFmtId="0" fontId="1" fillId="0" borderId="4"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vertical="center" wrapText="1"/>
    </xf>
    <xf numFmtId="9" fontId="0" fillId="0" borderId="0" xfId="0" applyNumberFormat="1"/>
    <xf numFmtId="0" fontId="11" fillId="0" borderId="0" xfId="0" applyFont="1"/>
    <xf numFmtId="0" fontId="0" fillId="2" borderId="7" xfId="0" applyFill="1" applyBorder="1" applyAlignment="1">
      <alignment horizontal="center"/>
    </xf>
    <xf numFmtId="0" fontId="0" fillId="2" borderId="18" xfId="0" applyFill="1" applyBorder="1" applyAlignment="1">
      <alignment horizontal="center"/>
    </xf>
    <xf numFmtId="0" fontId="0" fillId="2" borderId="11" xfId="0" applyFill="1" applyBorder="1" applyAlignment="1">
      <alignment horizont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vertical="center"/>
    </xf>
    <xf numFmtId="0" fontId="12" fillId="0" borderId="0" xfId="0" applyFont="1"/>
    <xf numFmtId="0" fontId="13" fillId="4" borderId="13" xfId="0" applyFont="1" applyFill="1" applyBorder="1" applyAlignment="1">
      <alignment horizontal="center" vertical="center"/>
    </xf>
    <xf numFmtId="0" fontId="13" fillId="4" borderId="13" xfId="0" applyFont="1" applyFill="1" applyBorder="1" applyAlignment="1">
      <alignment vertical="center" wrapText="1"/>
    </xf>
    <xf numFmtId="0" fontId="13" fillId="4" borderId="13" xfId="0" applyFont="1" applyFill="1" applyBorder="1" applyAlignment="1">
      <alignment horizontal="center" vertical="center" wrapText="1"/>
    </xf>
    <xf numFmtId="0" fontId="14" fillId="0" borderId="0" xfId="0" applyFont="1"/>
    <xf numFmtId="0" fontId="14" fillId="2" borderId="22" xfId="0" applyFont="1" applyFill="1" applyBorder="1" applyAlignment="1">
      <alignment horizontal="center" vertical="center"/>
    </xf>
    <xf numFmtId="0" fontId="14" fillId="2" borderId="23" xfId="0" applyFont="1" applyFill="1" applyBorder="1" applyAlignment="1">
      <alignment vertical="top" wrapText="1"/>
    </xf>
    <xf numFmtId="0" fontId="14" fillId="2" borderId="17" xfId="0" applyFont="1" applyFill="1" applyBorder="1" applyAlignment="1">
      <alignment horizontal="center" vertical="center"/>
    </xf>
    <xf numFmtId="0" fontId="14" fillId="2" borderId="18" xfId="0" applyFont="1" applyFill="1" applyBorder="1" applyAlignment="1">
      <alignment vertical="top" wrapText="1"/>
    </xf>
    <xf numFmtId="0" fontId="14" fillId="5" borderId="22" xfId="0" applyFont="1" applyFill="1" applyBorder="1" applyAlignment="1">
      <alignment horizontal="center" vertical="center"/>
    </xf>
    <xf numFmtId="0" fontId="14" fillId="5" borderId="23" xfId="0" applyFont="1" applyFill="1" applyBorder="1" applyAlignment="1">
      <alignment vertical="top" wrapText="1"/>
    </xf>
    <xf numFmtId="0" fontId="14" fillId="5" borderId="15" xfId="0" applyFont="1" applyFill="1" applyBorder="1" applyAlignment="1">
      <alignment horizontal="center" vertical="center"/>
    </xf>
    <xf numFmtId="0" fontId="14" fillId="5" borderId="7" xfId="0" applyFont="1" applyFill="1" applyBorder="1" applyAlignment="1">
      <alignment vertical="top" wrapText="1"/>
    </xf>
    <xf numFmtId="0" fontId="14" fillId="5" borderId="17" xfId="0" applyFont="1" applyFill="1" applyBorder="1" applyAlignment="1">
      <alignment horizontal="center" vertical="center"/>
    </xf>
    <xf numFmtId="0" fontId="14" fillId="5" borderId="18" xfId="0" applyFont="1" applyFill="1" applyBorder="1" applyAlignment="1">
      <alignment vertical="top" wrapText="1"/>
    </xf>
    <xf numFmtId="0" fontId="14" fillId="3" borderId="26" xfId="0" applyFont="1" applyFill="1" applyBorder="1" applyAlignment="1">
      <alignment horizontal="center" vertical="center"/>
    </xf>
    <xf numFmtId="0" fontId="14" fillId="3" borderId="20" xfId="0" applyFont="1" applyFill="1" applyBorder="1" applyAlignment="1">
      <alignment vertical="center" wrapText="1"/>
    </xf>
    <xf numFmtId="0" fontId="14" fillId="3" borderId="27" xfId="0" applyFont="1" applyFill="1" applyBorder="1" applyAlignment="1">
      <alignment horizontal="center" vertical="center" wrapText="1"/>
    </xf>
    <xf numFmtId="0" fontId="14" fillId="6" borderId="26" xfId="0" applyFont="1" applyFill="1" applyBorder="1" applyAlignment="1">
      <alignment horizontal="center" vertical="center"/>
    </xf>
    <xf numFmtId="0" fontId="14" fillId="6" borderId="20" xfId="0" applyFont="1" applyFill="1" applyBorder="1" applyAlignment="1">
      <alignment vertical="center" wrapText="1"/>
    </xf>
    <xf numFmtId="0" fontId="14" fillId="6" borderId="27" xfId="0" applyFont="1" applyFill="1" applyBorder="1" applyAlignment="1">
      <alignment horizontal="center" vertical="center" wrapText="1"/>
    </xf>
    <xf numFmtId="0" fontId="14" fillId="0" borderId="26" xfId="0" applyFont="1" applyBorder="1" applyAlignment="1">
      <alignment horizontal="center" vertical="center"/>
    </xf>
    <xf numFmtId="0" fontId="14" fillId="0" borderId="20" xfId="0" applyFont="1" applyBorder="1" applyAlignment="1">
      <alignment vertical="center" wrapText="1"/>
    </xf>
    <xf numFmtId="0" fontId="14" fillId="0" borderId="27" xfId="0" applyFont="1" applyBorder="1" applyAlignment="1">
      <alignment horizontal="center" vertical="center" wrapText="1"/>
    </xf>
    <xf numFmtId="0" fontId="14" fillId="0" borderId="27" xfId="0" applyFont="1" applyBorder="1" applyAlignment="1">
      <alignment horizontal="left" vertical="center" wrapText="1"/>
    </xf>
    <xf numFmtId="0" fontId="14" fillId="7" borderId="22" xfId="0" applyFont="1" applyFill="1" applyBorder="1" applyAlignment="1">
      <alignment horizontal="center" vertical="center"/>
    </xf>
    <xf numFmtId="0" fontId="14" fillId="7" borderId="23" xfId="0" applyFont="1" applyFill="1" applyBorder="1" applyAlignment="1">
      <alignment vertical="center" wrapText="1"/>
    </xf>
    <xf numFmtId="0" fontId="14" fillId="7" borderId="17" xfId="0" applyFont="1" applyFill="1" applyBorder="1" applyAlignment="1">
      <alignment horizontal="center" vertical="center"/>
    </xf>
    <xf numFmtId="0" fontId="14" fillId="7" borderId="18" xfId="0" applyFont="1" applyFill="1" applyBorder="1" applyAlignment="1">
      <alignment vertical="center" wrapText="1"/>
    </xf>
    <xf numFmtId="0" fontId="14" fillId="7" borderId="14" xfId="0" applyFont="1" applyFill="1" applyBorder="1" applyAlignment="1">
      <alignment horizontal="center" vertical="center"/>
    </xf>
    <xf numFmtId="0" fontId="14" fillId="7" borderId="14" xfId="0" applyFont="1" applyFill="1" applyBorder="1" applyAlignment="1">
      <alignment vertical="center" wrapText="1"/>
    </xf>
    <xf numFmtId="0" fontId="14" fillId="7" borderId="27" xfId="0" applyFont="1" applyFill="1" applyBorder="1" applyAlignment="1">
      <alignment horizontal="center" vertical="center" wrapText="1"/>
    </xf>
    <xf numFmtId="0" fontId="14" fillId="0" borderId="0" xfId="0" applyFont="1" applyAlignment="1">
      <alignment horizontal="left" wrapText="1"/>
    </xf>
    <xf numFmtId="2" fontId="8" fillId="0" borderId="2"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2" fontId="6" fillId="0" borderId="0" xfId="0" applyNumberFormat="1" applyFont="1" applyAlignment="1">
      <alignment horizontal="center" vertical="center" wrapText="1"/>
    </xf>
    <xf numFmtId="2" fontId="7" fillId="0" borderId="0" xfId="0" applyNumberFormat="1" applyFont="1" applyAlignment="1">
      <alignment horizontal="center"/>
    </xf>
    <xf numFmtId="2" fontId="7" fillId="0" borderId="1" xfId="0" applyNumberFormat="1" applyFont="1" applyBorder="1" applyAlignment="1">
      <alignment horizontal="center"/>
    </xf>
    <xf numFmtId="2" fontId="6" fillId="0" borderId="1" xfId="0" applyNumberFormat="1" applyFont="1" applyBorder="1" applyAlignment="1">
      <alignment horizontal="center" vertical="center" wrapText="1"/>
    </xf>
    <xf numFmtId="0" fontId="9" fillId="0" borderId="0" xfId="0" applyFont="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2" xfId="0" applyFont="1" applyFill="1" applyBorder="1" applyAlignment="1">
      <alignment horizontal="center"/>
    </xf>
    <xf numFmtId="0" fontId="10" fillId="0" borderId="0" xfId="0" applyFont="1" applyAlignment="1">
      <alignment horizontal="left" wrapText="1"/>
    </xf>
    <xf numFmtId="0" fontId="14" fillId="2" borderId="11"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4" fillId="5" borderId="24"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8" fillId="0" borderId="29" xfId="0" applyFont="1" applyBorder="1" applyAlignment="1">
      <alignment vertical="center" wrapText="1"/>
    </xf>
    <xf numFmtId="0" fontId="6" fillId="0" borderId="30" xfId="0" applyFont="1" applyBorder="1" applyAlignment="1">
      <alignment vertical="center" wrapText="1"/>
    </xf>
    <xf numFmtId="0" fontId="1" fillId="0" borderId="31"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vertical="center" wrapText="1"/>
    </xf>
    <xf numFmtId="0" fontId="7" fillId="0" borderId="32" xfId="0" applyFont="1" applyBorder="1"/>
    <xf numFmtId="0" fontId="1" fillId="0" borderId="33" xfId="0" applyFont="1" applyBorder="1" applyAlignment="1">
      <alignment vertical="center" wrapText="1"/>
    </xf>
    <xf numFmtId="0" fontId="7" fillId="0" borderId="33" xfId="0" applyFont="1" applyBorder="1"/>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1" fillId="0" borderId="34" xfId="0" applyFont="1" applyBorder="1" applyAlignment="1">
      <alignment vertical="center" wrapText="1"/>
    </xf>
    <xf numFmtId="0" fontId="5" fillId="0" borderId="34" xfId="0" applyFont="1" applyBorder="1" applyAlignment="1">
      <alignment vertical="center" wrapText="1"/>
    </xf>
    <xf numFmtId="0" fontId="1" fillId="0" borderId="28" xfId="0" applyFont="1" applyBorder="1" applyAlignment="1">
      <alignment vertical="center" wrapText="1"/>
    </xf>
    <xf numFmtId="0" fontId="5" fillId="0" borderId="35" xfId="0" applyFont="1" applyBorder="1" applyAlignment="1">
      <alignment vertical="center" wrapText="1"/>
    </xf>
    <xf numFmtId="0" fontId="1" fillId="0" borderId="2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1814763</xdr:colOff>
      <xdr:row>3</xdr:row>
      <xdr:rowOff>0</xdr:rowOff>
    </xdr:from>
    <xdr:ext cx="184731" cy="264560"/>
    <xdr:sp macro="" textlink="">
      <xdr:nvSpPr>
        <xdr:cNvPr id="2" name="CaixaDeTexto 1">
          <a:extLst>
            <a:ext uri="{FF2B5EF4-FFF2-40B4-BE49-F238E27FC236}">
              <a16:creationId xmlns:a16="http://schemas.microsoft.com/office/drawing/2014/main" id="{F187F167-67DD-41A3-A852-B5A5D0F83549}"/>
            </a:ext>
          </a:extLst>
        </xdr:cNvPr>
        <xdr:cNvSpPr txBox="1"/>
      </xdr:nvSpPr>
      <xdr:spPr>
        <a:xfrm>
          <a:off x="8729913"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editAs="oneCell">
    <xdr:from>
      <xdr:col>1</xdr:col>
      <xdr:colOff>12806</xdr:colOff>
      <xdr:row>1</xdr:row>
      <xdr:rowOff>15812</xdr:rowOff>
    </xdr:from>
    <xdr:to>
      <xdr:col>1</xdr:col>
      <xdr:colOff>959716</xdr:colOff>
      <xdr:row>2</xdr:row>
      <xdr:rowOff>115597</xdr:rowOff>
    </xdr:to>
    <xdr:pic>
      <xdr:nvPicPr>
        <xdr:cNvPr id="3" name="Imagem 2">
          <a:extLst>
            <a:ext uri="{FF2B5EF4-FFF2-40B4-BE49-F238E27FC236}">
              <a16:creationId xmlns:a16="http://schemas.microsoft.com/office/drawing/2014/main" id="{B3C0392B-879E-428D-8635-EB559A56F7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045" y="206312"/>
          <a:ext cx="946910" cy="2902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abio Luis Ricci" id="{B93A2D7A-2D79-4401-9AFA-515295F4A115}" userId="S::flricci@prodam.sp.gov.br::72f3d1d6-f055-491a-8e67-3e5cba6d20b7" providerId="AD"/>
  <person displayName="Carlos Alberto Marcelino Sampaio" id="{8B821A41-E85A-4213-B388-300B8E2E3719}" userId="S::carlosms@prodam.sp.gov.br::36f2642d-ed89-4432-af46-0011fc780555"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4-09-26T15:23:59.03" personId="{B93A2D7A-2D79-4401-9AFA-515295F4A115}" id="{BF7E833B-D162-48F3-A02C-8404C1679515}">
    <text xml:space="preserve">Justificativa Pesquisa de Demanda				
Critérios de Definição:	
Estabelecer coerência entre a quantidade de estações de trabalhos atuais as possíveis expansões e o quantitativo definido na pesquisa de demanda. 
Necessidade:		
Esse quantitativo pretende garantir os atendimentos das novas demandas, crescimento vegetativo e de reorganização gerencial.		
Conclusão:		
Portanto, o quantitativo solicitado está alinhado com as demandas anteriores as necessidades atuais e futuras, além de garantir a continuidade na prestação de serviço.
</text>
  </threadedComment>
  <threadedComment ref="B6" dT="2024-09-26T15:25:13.83" personId="{B93A2D7A-2D79-4401-9AFA-515295F4A115}" id="{82C4FD80-D757-43A8-AF2D-A05E279E983C}">
    <text>O ponto estruturado é indicado para ser utilizado onde há a necessidade de integração dos serviços de telefonia que fazem uso de PABX tradicional</text>
  </threadedComment>
  <threadedComment ref="C6" dT="2024-09-26T15:11:13.62" personId="{B93A2D7A-2D79-4401-9AFA-515295F4A115}" id="{F399D2F4-6536-46F9-9223-D7875FFED11E}">
    <text xml:space="preserve">Instalação de novos Pontos estruturados, que consiste em 02 pontos de Rede CAT5E com fornecimento de cabos de até 90m, Conector Fêmea e 02 Pontos de Energia Elétrica e tomada de 10 A do quadro elétrico até a tomada, conectorização e mão de obra. Será realizada conversão pelo histórico das ARPs anteriores de serviços dentro do horário comercial e fora do horário comercial.
</text>
  </threadedComment>
  <threadedComment ref="B7" dT="2024-09-26T17:11:54.32" personId="{B93A2D7A-2D79-4401-9AFA-515295F4A115}" id="{4E1BCD47-3CAD-40F9-B23F-30674B49BF35}">
    <text>O ponto estruturado é indicado para ser utilizado onde há a necessidade de integração dos serviços de telefonia que fazem uso de PABX tradicional</text>
  </threadedComment>
  <threadedComment ref="C7" dT="2024-09-26T15:11:45.25" personId="{B93A2D7A-2D79-4401-9AFA-515295F4A115}" id="{56857649-4EE7-4948-954F-517F28399011}">
    <text xml:space="preserve">Instalação de novos Pontos estruturados, que consiste em 02 pontos de Rede CAT6 com fornecimento de cabos de até 90m, Conector Fêmea e 02 Pontos de Energia Elétrica e tomada de 10 A do quadro elétrico até a tomada, conectorização e mão de obra. Será realizada conversão pelo histórico das ARPs anteriores de serviços dentro do horário comercial e fora do horário comercial.
</text>
  </threadedComment>
  <threadedComment ref="B8" dT="2024-09-26T17:12:20.35" personId="{B93A2D7A-2D79-4401-9AFA-515295F4A115}" id="{F1F98E2C-EA82-43AD-A76B-361E84B6F633}">
    <text>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text>
  </threadedComment>
  <threadedComment ref="C8" dT="2024-09-26T15:12:21.15" personId="{B93A2D7A-2D79-4401-9AFA-515295F4A115}" id="{C9C391B7-04FD-456C-9432-8C7FDDEE922A}">
    <text xml:space="preserve">Instalação de novos pontos de rede CAT5E com fornecimento de cabos de até 90m, conector fêmea, conectorização e mão de obra. Será realizada conversão pelo histórico das ARPs anteriores de serviços dentro do horário comercial e fora do horário comercial.
</text>
  </threadedComment>
  <threadedComment ref="B9" dT="2024-09-26T17:12:33.09" personId="{B93A2D7A-2D79-4401-9AFA-515295F4A115}" id="{FD67EDA3-240D-4DC3-87BC-08FAFC61A2F0}">
    <text xml:space="preserve">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
</text>
  </threadedComment>
  <threadedComment ref="C9" dT="2024-09-26T15:12:38.61" personId="{B93A2D7A-2D79-4401-9AFA-515295F4A115}" id="{1998AC07-488C-492D-ACCF-0641483A99E6}">
    <text xml:space="preserve">nstalação de novos pontos de rede CAT6 com fornecimento de cabos de até 90m, conector fêmea, conectorização e mão de obra. Será realizada conversão pelo histórico das ARPs anteriores de serviços dentro do horário comercial e fora do horário comercial.
</text>
  </threadedComment>
  <threadedComment ref="B10" dT="2024-09-26T17:12:42.59" personId="{B93A2D7A-2D79-4401-9AFA-515295F4A115}" id="{F527FAC1-1609-455A-B97D-C5999D7EBD44}">
    <text xml:space="preserve">A instalação do ponto de rede simples pode ser utilizado para estações de trabalho em ambientes que não tem necessidade de ponto de rede para a telefonia e para equipamentos que funcionam isoladamente da telefonia( ex: impressoras, pontos de WIFI, interligação entre ativos de rede etc...
</text>
  </threadedComment>
  <threadedComment ref="C10" dT="2024-09-26T15:13:02.36" personId="{B93A2D7A-2D79-4401-9AFA-515295F4A115}" id="{E1017B13-E417-44F7-87D3-BC3525E7B168}">
    <text xml:space="preserve">Instalação de novos pontos de rede CAT6A com fornecimento de cabos de até 90m, conector fêmea, conectorização e mão de obra. Será realizada conversão pelo histórico das ARPs anteriores de serviços dentro do horário comercial e fora do horário comercial.
</text>
  </threadedComment>
  <threadedComment ref="B11" dT="2024-09-26T17:13:03.23" personId="{B93A2D7A-2D79-4401-9AFA-515295F4A115}" id="{CEFC42C3-81B5-4F7A-A41B-21E4E8D45D21}">
    <text>O serviço é indicado para ambientes onde devido ao tempo de uso os racks ficaram desorganizados e os pontos de rede conectados a esse rack não estão funcionando ou perderam a identificação, caberá ao prestador de serviço organizar o rack, identificar e testar os pontos de rede ligados a este rack e se for necessário fazer a substituição do cabo de rede(orientado o cliente a adquirir a instalação de um novo ponto de rede.)</text>
  </threadedComment>
  <threadedComment ref="C11" dT="2024-09-26T15:13:19.42" personId="{B93A2D7A-2D79-4401-9AFA-515295F4A115}" id="{DA0039C4-D718-4E7D-8E30-B53B69AABC91}">
    <text xml:space="preserve">Manutenção preventiva em racks de pontos de rede CAT5E, CAT6 e CAT6A com mão de obra. Indicado para verificação de cabeamento, conectorização. Será realizada conversão pelo histórico das ARPs anteriores de serviços dentro do horário comercial e fora do horário comercial.
</text>
  </threadedComment>
  <threadedComment ref="B12" dT="2024-09-26T17:13:38.11" personId="{B93A2D7A-2D79-4401-9AFA-515295F4A115}" id="{FFF29330-67C5-4CFA-A389-A6DE42FFC7E3}">
    <text>Serviço indicado para a correções simples tais como substituição, teste e identificação do ponto de rede(Caso não seja possível aproveitar o cabo existente, o cliente terá que contratar a instalação de um novo ponto de rede)</text>
  </threadedComment>
  <threadedComment ref="C12" dT="2024-09-26T15:13:44.16" personId="{B93A2D7A-2D79-4401-9AFA-515295F4A115}" id="{F6D58DA6-F0A4-4B1D-A519-3CE1CDD63231}">
    <text xml:space="preserve">Manutenção corretiva em racks de pontos de rede CAT5E, CAT6 e CAT6A com mão de obra.  Indicado para correção de cabeamento, conectorização, organização de racks, patch panels, entre outros. Será realizada conversão pelo histórico das ARPs anteriores de serviços dentro do horário comercial e fora do horário comercial.
</text>
  </threadedComment>
  <threadedComment ref="B13" dT="2024-09-26T17:14:37.69" personId="{B93A2D7A-2D79-4401-9AFA-515295F4A115}" id="{0F995A72-6AAB-4160-9FC3-9A02E5A7D689}">
    <text xml:space="preserve">Esse serviço prevê a remoção de todos os pontos de rede inclusive a infraestrutura da rede antiga, a remoção e o descarte do material será de responsabilidade da contratada.
</text>
  </threadedComment>
  <threadedComment ref="C13" dT="2024-09-26T15:14:06.07" personId="{B93A2D7A-2D79-4401-9AFA-515295F4A115}" id="{F535FBDB-586D-4B79-A506-DFAC5DFFEB3D}">
    <text xml:space="preserve">Desinstalação de pontos de rede CAT5E ou CAT6 com mão de obra e descarte dos materiais. Será realizada conversão pelo histórico das ARPs anteriores de serviços dentro do horário comercial e fora do horário comercial.
</text>
  </threadedComment>
  <threadedComment ref="B14" dT="2024-09-26T17:14:58.98" personId="{B93A2D7A-2D79-4401-9AFA-515295F4A115}" id="{BC883535-3651-4898-B1DF-F87E744C7C58}">
    <text xml:space="preserve">Indicado para pontos avulsos de tomadas elétrica em pontos de rede em que não esta prevista a instalação de tomada(indicado para estações de trabalho, notebooks e equipamentos que não exijam circuito elétrico independente)
</text>
  </threadedComment>
  <threadedComment ref="C14" dT="2024-09-26T15:15:09.10" personId="{B93A2D7A-2D79-4401-9AFA-515295F4A115}" id="{A9F920B9-EE76-4177-A603-62F36CCFBAC5}">
    <text xml:space="preserve">Instalação de novos pontos de energia elétrica com fornecimento de cabos de 2,5 mm² e tomada de 10 A do quadro elétrico até a tomada, conectorização e mão de obra. Será realizada conversão pelo histórico das ARPs anteriores de serviços dentro do horário comercial e fora do horário comercial.
</text>
  </threadedComment>
  <threadedComment ref="B15" dT="2024-09-26T17:16:13.45" personId="{B93A2D7A-2D79-4401-9AFA-515295F4A115}" id="{BE490F15-98D3-43C2-A29C-770A3565E67A}">
    <text xml:space="preserve">Indicado para impressoras, racks e equipamentos que exijam tomadas com circuito elétrico independente.
</text>
  </threadedComment>
  <threadedComment ref="C15" dT="2024-09-26T15:21:40.31" personId="{B93A2D7A-2D79-4401-9AFA-515295F4A115}" id="{BE6012CD-1A4B-4EBD-AFA6-741DE0065007}">
    <text>Instalação de novos pontos de energia elétrica sem fornecimento de cabos de 2,5 mm² e tomada de  20 A do quadro elétrico até a tomada, conectorização e mão de obra. Será realizada conversão pelo histórico das ARPs anteriores de serviços dentro do horário comercial e fora do horário comercial.</text>
  </threadedComment>
  <threadedComment ref="B16" dT="2024-09-26T17:16:34.24" personId="{B93A2D7A-2D79-4401-9AFA-515295F4A115}" id="{63982EEC-A5E0-4553-AE0C-0FCB0CFDCA91}">
    <text>Utilizado para emenda de cabos opticos geralmente utilizado em caixas de emenda e distribuidores opticos, para a aquisição deste serviço há que se ter em mente que  dependera do numero de vias a fibra possui(ex para um cabo de 4 vias haverá a necessidade de contratação de no mínimo 8 fusões - duas fusões para cada via do cabo )</text>
  </threadedComment>
  <threadedComment ref="C16" dT="2024-09-26T15:15:43.12" personId="{B93A2D7A-2D79-4401-9AFA-515295F4A115}" id="{693CF16F-9476-484F-807B-F07EFA4665F5}">
    <text xml:space="preserve">Fusão de fibra ótica monomodo e multimodo, Será realizada conversão pelo histórico das ARPs anteriores de serviços dentro do horário comercial e fora do horário comercial.
</text>
  </threadedComment>
  <threadedComment ref="B17" dT="2024-09-26T17:17:45.67" personId="{B93A2D7A-2D79-4401-9AFA-515295F4A115}" id="{3A46C9E0-6C02-4291-A72F-5B6B160B0138}">
    <text xml:space="preserve">Geralmente este serviço recomendado  para interligação de prédios ou andares, no caso da pesquisa de demanda o cliente devera informar quantos segmentos precisa e o total da metragem de todos os segmentos bem como a quantidade de vias (4, 6 ou 12)
</text>
  </threadedComment>
  <threadedComment ref="C17" dT="2024-09-26T15:16:02.31" personId="{B93A2D7A-2D79-4401-9AFA-515295F4A115}" id="{A0B5D22C-EE13-4CFE-A904-017313F4881B}">
    <text>Lançamento de cabo optico (até 24 pares de fibra ótica) em infraestrutura existente com fornecimento de placas de identificação. Será realizada conversão pelo histórico das ARPs anteriores de serviços dentro do horário comercial e fora do horário comercial.</text>
  </threadedComment>
  <threadedComment ref="B18" dT="2024-09-26T17:18:05.30" personId="{B93A2D7A-2D79-4401-9AFA-515295F4A115}" id="{9850C824-8BA6-4142-925B-B032D8058B9A}">
    <text xml:space="preserve">Serviço indicado para a estruturação do cabeamento de telefonia e poderá complementar a instalação da rede com cabeamento estruturado, interligando o PABX ao rack concentrador, o cliente devera informar a metragem estimada para o projeto. (Somente contratar se fizer uso de PABX) </text>
  </threadedComment>
  <threadedComment ref="C18" dT="2024-09-26T15:16:24.95" personId="{B93A2D7A-2D79-4401-9AFA-515295F4A115}" id="{8445FA7A-5255-470F-B9A2-AEFCC21CD3AC}">
    <text xml:space="preserve">Lançamento de cabo CI 50 em infraestrutura existente incluindo a conectorização (voice panel para bloco de corte, voice panel para voice panel ou bloco de corte para bloco de corte). Será realizada conversão pelo histórico das ARPs anteriores de serviços dentro do horário comercial e fora do horário comercial.
</text>
  </threadedComment>
  <threadedComment ref="B19" dT="2024-09-26T17:18:12.31" personId="{B93A2D7A-2D79-4401-9AFA-515295F4A115}" id="{FAC2702C-01A9-47A6-B8DD-BAF4983D29FA}">
    <text xml:space="preserve">Serviço indicado para a estruturação do cabeamento de telefonia e poderá complementar a instalação da rede com cabeamento estruturado, interligando o PABX ao rack concentrador, o cliente devera informar a metragem estimada para o projeto. (Somente contratar se fizer uso de PABX) </text>
  </threadedComment>
  <threadedComment ref="C19" dT="2024-09-26T15:16:41.08" personId="{B93A2D7A-2D79-4401-9AFA-515295F4A115}" id="{B6344B62-376C-4B3E-B4E1-0CE3CFCE5F12}">
    <text>Lançamento de cabo CI 30 em infraestrutura existente incluindo a conectorização (voice panel para bloco de corte, voice panel para voice panel ou bloco de corte para bloco de corte). Será realizada conversão pelo histórico das ARPs anteriores de serviços dentro do horário comercial e fora do horário comercial.</text>
  </threadedComment>
  <threadedComment ref="B20" dT="2024-09-26T17:18:31.05" personId="{B93A2D7A-2D79-4401-9AFA-515295F4A115}" id="{7981BCE4-1389-4411-B984-724989BCA157}">
    <text xml:space="preserve">Cada ponto GPON poderá suprir até 4 pontos de rede, se a quantidade de pontos for de 120 pontos recomendamos dividir por 2,5 que é a taxa media de ocupação do ativo de rede ONU,  (ex: 120 / 2,5 = 48 pontos GPON ). </text>
  </threadedComment>
  <threadedComment ref="C20" dT="2024-09-26T15:17:06.03" personId="{B93A2D7A-2D79-4401-9AFA-515295F4A115}" id="{17AB8842-6EE2-4BC7-B8DF-92FACE04F736}">
    <text>Ativação de ponto ONT/ONU, em ambiente interno/externo, com fornecimento de etiquetas, acessórios para ancoragem e lançamento de cabo óptico até 150m (caixa de acesso até a roseta), conectorização nas extremidades do cabo. Identificação:  cabo, roseta, com certificação e testes de atenuação, observando a potência e sensibilidade dos equipamentos com margem de 10%(conforme modelos OLT/ONT adquiridos pelo contratante). Será realizada conversão pelo histórico das ARPs anteriores de serviços dentro do horário comercial e fora do horário comercial.</text>
  </threadedComment>
  <threadedComment ref="E20" dT="2024-10-02T15:37:41.92" personId="{B93A2D7A-2D79-4401-9AFA-515295F4A115}" id="{AF89E72A-5064-43CE-A298-007ED4DDC200}">
    <text xml:space="preserve">Apenas números múltiplos de 4
</text>
  </threadedComment>
  <threadedComment ref="B21" dT="2024-09-26T17:18:53.25" personId="{B93A2D7A-2D79-4401-9AFA-515295F4A115}" id="{BAA17B17-1362-48CD-8B7F-45E0C8AF0774}">
    <text xml:space="preserve">Serviço recomendado para manutenção em um ponto GPON(troca do conector, identificação do ponto, substituição do cabo do divisor optio até ponto GPON ) </text>
  </threadedComment>
  <threadedComment ref="C21" dT="2024-09-26T15:17:24.37" personId="{B93A2D7A-2D79-4401-9AFA-515295F4A115}" id="{A79A1C01-BEC3-4B2B-B2EF-14769D8CFAD8}">
    <text>Manutenção corretiva em OLT, splitters e ONT/ONU com mão de obra. Será realizada conversão pelo histórico das ARPs anteriores de serviços dentro do horário comercial e fora do horário comercial.</text>
  </threadedComment>
  <threadedComment ref="B22" dT="2024-09-26T17:19:09.46" personId="{B93A2D7A-2D79-4401-9AFA-515295F4A115}" id="{E2F804EA-CD6F-4928-8B80-B29D14F88903}">
    <text>Serviço de desinstalação de pontos GPON inclusive remoção e descarte de materiais.</text>
  </threadedComment>
  <threadedComment ref="C22" dT="2024-09-26T15:22:28.18" personId="{B93A2D7A-2D79-4401-9AFA-515295F4A115}" id="{78A47BDF-B4EE-4FD7-8F15-DD60BAC82110}">
    <text>Desinstalação de pontos de rede GPON com mão de obra e descarte dos materiais. Será realizada conversão pelo histórico das ARPs anteriores de serviços dentro do horário comercial e fora do horário comercial.</text>
  </threadedComment>
  <threadedComment ref="B23" dT="2024-09-26T17:19:23.01" personId="{B93A2D7A-2D79-4401-9AFA-515295F4A115}" id="{D9C40CC1-040C-448D-9264-417F900CF111}">
    <text xml:space="preserve">
Solução de gerenciamento de camada física, que  proporcionando monitorar e mapear sua infraestrutura física de forma segura, por meio de plataforma de software e hardware que detecte instantaneamente qualquer atividade não autorizada e ajuda na resolução de problemas em seu data center. </text>
  </threadedComment>
  <threadedComment ref="C23" dT="2024-09-26T15:22:52.31" personId="{B93A2D7A-2D79-4401-9AFA-515295F4A115}" id="{B9DBF371-82E3-475F-9A0A-DA673E735E98}">
    <text>Solução de gerenciamento de camada física, que  proporcionando monitorar e mapear sua infraestrutura física de forma segura, por meio de plataforma de software e hardware que detecte instantaneamente qualquer atividade não autorizada e ajuda na resolução de problemas em seu data center.</text>
  </threadedComment>
</ThreadedComments>
</file>

<file path=xl/threadedComments/threadedComment2.xml><?xml version="1.0" encoding="utf-8"?>
<ThreadedComments xmlns="http://schemas.microsoft.com/office/spreadsheetml/2018/threadedcomments" xmlns:x="http://schemas.openxmlformats.org/spreadsheetml/2006/main">
  <threadedComment ref="D108" dT="2024-09-23T14:33:38.47" personId="{8B821A41-E85A-4213-B388-300B8E2E3719}" id="{84989D7D-590F-4F32-AA15-389C44207F56}">
    <text>Soma  dos pontos estruturados itens 1 e 2 + tomadas avulsas itens 9 e 10 + tomadas para GPON item  15. dividido pela quantidade de tomadas do circuito(8 tomadas) e dividido por 10(media de disjuntores suportados pelos quadros elétricos disponiveis na ARP (6+8+16+32/5))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8C328-49FB-4466-AEE7-104EA21EF9DE}">
  <dimension ref="B2:H29"/>
  <sheetViews>
    <sheetView tabSelected="1" zoomScale="115" zoomScaleNormal="115" workbookViewId="0"/>
  </sheetViews>
  <sheetFormatPr defaultRowHeight="15" customHeight="1" x14ac:dyDescent="0.3"/>
  <cols>
    <col min="1" max="1" width="7.5546875" customWidth="1"/>
    <col min="2" max="2" width="15" customWidth="1"/>
    <col min="3" max="3" width="84.6640625" customWidth="1"/>
    <col min="4" max="4" width="8.88671875" customWidth="1"/>
    <col min="5" max="5" width="15.5546875" customWidth="1"/>
    <col min="6" max="6" width="24.6640625" customWidth="1"/>
    <col min="7" max="7" width="23.109375" customWidth="1"/>
  </cols>
  <sheetData>
    <row r="2" spans="2:8" ht="15" customHeight="1" x14ac:dyDescent="0.3">
      <c r="B2" s="100" t="s">
        <v>0</v>
      </c>
      <c r="C2" s="100"/>
      <c r="D2" s="100"/>
      <c r="E2" s="100"/>
      <c r="F2" s="100"/>
      <c r="G2" s="1"/>
      <c r="H2" s="1"/>
    </row>
    <row r="3" spans="2:8" ht="15" customHeight="1" thickBot="1" x14ac:dyDescent="0.35"/>
    <row r="4" spans="2:8" ht="15" customHeight="1" thickBot="1" x14ac:dyDescent="0.35">
      <c r="B4" s="101" t="s">
        <v>1</v>
      </c>
      <c r="C4" s="102"/>
      <c r="D4" s="102"/>
      <c r="E4" s="102"/>
      <c r="F4" s="103"/>
    </row>
    <row r="5" spans="2:8" ht="15" customHeight="1" x14ac:dyDescent="0.3">
      <c r="B5" s="6" t="s">
        <v>2</v>
      </c>
      <c r="C5" s="7" t="s">
        <v>3</v>
      </c>
      <c r="D5" s="7" t="s">
        <v>4</v>
      </c>
      <c r="E5" s="7" t="s">
        <v>5</v>
      </c>
      <c r="F5" s="52" t="s">
        <v>6</v>
      </c>
    </row>
    <row r="6" spans="2:8" ht="15" customHeight="1" x14ac:dyDescent="0.3">
      <c r="B6" s="10">
        <v>1</v>
      </c>
      <c r="C6" s="2" t="s">
        <v>7</v>
      </c>
      <c r="D6" s="50" t="s">
        <v>4</v>
      </c>
      <c r="E6" s="8"/>
      <c r="F6" s="9"/>
    </row>
    <row r="7" spans="2:8" ht="15" customHeight="1" x14ac:dyDescent="0.3">
      <c r="B7" s="10">
        <v>2</v>
      </c>
      <c r="C7" s="2" t="s">
        <v>8</v>
      </c>
      <c r="D7" s="50" t="s">
        <v>4</v>
      </c>
      <c r="E7" s="8"/>
      <c r="F7" s="9"/>
    </row>
    <row r="8" spans="2:8" ht="15" customHeight="1" x14ac:dyDescent="0.3">
      <c r="B8" s="10">
        <v>3</v>
      </c>
      <c r="C8" s="2" t="s">
        <v>9</v>
      </c>
      <c r="D8" s="50" t="s">
        <v>4</v>
      </c>
      <c r="E8" s="8"/>
      <c r="F8" s="9"/>
    </row>
    <row r="9" spans="2:8" ht="15" customHeight="1" x14ac:dyDescent="0.3">
      <c r="B9" s="10">
        <v>4</v>
      </c>
      <c r="C9" s="2" t="s">
        <v>10</v>
      </c>
      <c r="D9" s="50" t="s">
        <v>4</v>
      </c>
      <c r="E9" s="8"/>
      <c r="F9" s="9"/>
    </row>
    <row r="10" spans="2:8" ht="15" customHeight="1" x14ac:dyDescent="0.3">
      <c r="B10" s="10">
        <v>5</v>
      </c>
      <c r="C10" s="2" t="s">
        <v>11</v>
      </c>
      <c r="D10" s="50" t="s">
        <v>4</v>
      </c>
      <c r="E10" s="8"/>
      <c r="F10" s="9"/>
    </row>
    <row r="11" spans="2:8" ht="15" customHeight="1" x14ac:dyDescent="0.3">
      <c r="B11" s="10">
        <v>6</v>
      </c>
      <c r="C11" s="2" t="s">
        <v>12</v>
      </c>
      <c r="D11" s="50" t="s">
        <v>4</v>
      </c>
      <c r="E11" s="8"/>
      <c r="F11" s="9"/>
    </row>
    <row r="12" spans="2:8" ht="15" customHeight="1" x14ac:dyDescent="0.3">
      <c r="B12" s="10">
        <v>7</v>
      </c>
      <c r="C12" s="2" t="s">
        <v>13</v>
      </c>
      <c r="D12" s="50" t="s">
        <v>4</v>
      </c>
      <c r="E12" s="8"/>
      <c r="F12" s="9"/>
    </row>
    <row r="13" spans="2:8" ht="15" customHeight="1" x14ac:dyDescent="0.3">
      <c r="B13" s="10">
        <v>8</v>
      </c>
      <c r="C13" s="2" t="s">
        <v>14</v>
      </c>
      <c r="D13" s="50" t="s">
        <v>4</v>
      </c>
      <c r="E13" s="8"/>
      <c r="F13" s="9"/>
    </row>
    <row r="14" spans="2:8" ht="15" customHeight="1" x14ac:dyDescent="0.3">
      <c r="B14" s="10">
        <v>9</v>
      </c>
      <c r="C14" s="3" t="s">
        <v>15</v>
      </c>
      <c r="D14" s="50" t="s">
        <v>4</v>
      </c>
      <c r="E14" s="8"/>
      <c r="F14" s="9"/>
    </row>
    <row r="15" spans="2:8" ht="15" customHeight="1" x14ac:dyDescent="0.3">
      <c r="B15" s="10">
        <v>10</v>
      </c>
      <c r="C15" s="3" t="s">
        <v>16</v>
      </c>
      <c r="D15" s="50" t="s">
        <v>4</v>
      </c>
      <c r="E15" s="8"/>
      <c r="F15" s="9"/>
    </row>
    <row r="16" spans="2:8" ht="15" customHeight="1" x14ac:dyDescent="0.3">
      <c r="B16" s="10">
        <v>11</v>
      </c>
      <c r="C16" s="2" t="s">
        <v>17</v>
      </c>
      <c r="D16" s="50" t="s">
        <v>4</v>
      </c>
      <c r="E16" s="8"/>
      <c r="F16" s="9"/>
    </row>
    <row r="17" spans="2:6" ht="15" customHeight="1" x14ac:dyDescent="0.3">
      <c r="B17" s="10">
        <v>12</v>
      </c>
      <c r="C17" s="2" t="s">
        <v>18</v>
      </c>
      <c r="D17" s="50" t="s">
        <v>19</v>
      </c>
      <c r="E17" s="8"/>
      <c r="F17" s="9"/>
    </row>
    <row r="18" spans="2:6" ht="15" customHeight="1" x14ac:dyDescent="0.3">
      <c r="B18" s="10">
        <v>13</v>
      </c>
      <c r="C18" s="2" t="s">
        <v>20</v>
      </c>
      <c r="D18" s="50" t="s">
        <v>19</v>
      </c>
      <c r="E18" s="8"/>
      <c r="F18" s="9"/>
    </row>
    <row r="19" spans="2:6" ht="15" customHeight="1" x14ac:dyDescent="0.3">
      <c r="B19" s="10">
        <v>14</v>
      </c>
      <c r="C19" s="2" t="s">
        <v>21</v>
      </c>
      <c r="D19" s="50" t="s">
        <v>19</v>
      </c>
      <c r="E19" s="8"/>
      <c r="F19" s="9"/>
    </row>
    <row r="20" spans="2:6" ht="15" customHeight="1" x14ac:dyDescent="0.3">
      <c r="B20" s="10">
        <v>15</v>
      </c>
      <c r="C20" s="2" t="s">
        <v>22</v>
      </c>
      <c r="D20" s="50" t="s">
        <v>4</v>
      </c>
      <c r="E20" s="8"/>
      <c r="F20" s="9"/>
    </row>
    <row r="21" spans="2:6" ht="15" customHeight="1" x14ac:dyDescent="0.3">
      <c r="B21" s="10">
        <v>16</v>
      </c>
      <c r="C21" s="2" t="s">
        <v>23</v>
      </c>
      <c r="D21" s="50" t="s">
        <v>4</v>
      </c>
      <c r="E21" s="8"/>
      <c r="F21" s="9"/>
    </row>
    <row r="22" spans="2:6" ht="15" customHeight="1" x14ac:dyDescent="0.3">
      <c r="B22" s="10">
        <v>17</v>
      </c>
      <c r="C22" s="2" t="s">
        <v>24</v>
      </c>
      <c r="D22" s="50" t="s">
        <v>4</v>
      </c>
      <c r="E22" s="8"/>
      <c r="F22" s="9"/>
    </row>
    <row r="23" spans="2:6" ht="15" customHeight="1" thickBot="1" x14ac:dyDescent="0.35">
      <c r="B23" s="14">
        <v>18</v>
      </c>
      <c r="C23" s="11" t="s">
        <v>25</v>
      </c>
      <c r="D23" s="51" t="s">
        <v>4</v>
      </c>
      <c r="E23" s="12"/>
      <c r="F23" s="13"/>
    </row>
    <row r="24" spans="2:6" ht="15" customHeight="1" thickBot="1" x14ac:dyDescent="0.35">
      <c r="B24" s="104"/>
      <c r="C24" s="104"/>
      <c r="D24" s="104"/>
      <c r="E24" s="104"/>
      <c r="F24" s="104"/>
    </row>
    <row r="25" spans="2:6" ht="15" customHeight="1" thickBot="1" x14ac:dyDescent="0.35">
      <c r="B25" s="1" t="s">
        <v>26</v>
      </c>
      <c r="C25" s="5"/>
      <c r="D25" s="15"/>
      <c r="E25" s="4"/>
      <c r="F25" s="4"/>
    </row>
    <row r="26" spans="2:6" ht="15" customHeight="1" thickBot="1" x14ac:dyDescent="0.35">
      <c r="B26" s="1" t="s">
        <v>27</v>
      </c>
      <c r="C26" s="5"/>
      <c r="D26" s="15"/>
      <c r="E26" s="4"/>
      <c r="F26" s="4"/>
    </row>
    <row r="27" spans="2:6" ht="15" customHeight="1" thickBot="1" x14ac:dyDescent="0.35">
      <c r="B27" s="1" t="s">
        <v>28</v>
      </c>
      <c r="C27" s="5"/>
      <c r="D27" s="15"/>
    </row>
    <row r="28" spans="2:6" ht="15" customHeight="1" thickBot="1" x14ac:dyDescent="0.35">
      <c r="B28" s="1" t="s">
        <v>29</v>
      </c>
      <c r="C28" s="5"/>
      <c r="D28" s="15"/>
    </row>
    <row r="29" spans="2:6" ht="15" customHeight="1" thickBot="1" x14ac:dyDescent="0.35">
      <c r="B29" s="1" t="s">
        <v>30</v>
      </c>
      <c r="C29" s="5"/>
      <c r="D29" s="15"/>
    </row>
  </sheetData>
  <sheetProtection selectLockedCells="1" selectUnlockedCells="1"/>
  <mergeCells count="3">
    <mergeCell ref="B2:F2"/>
    <mergeCell ref="B4:F4"/>
    <mergeCell ref="B24:F24"/>
  </mergeCell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731E-AEFF-4B03-9AD3-31E3809C46BA}">
  <dimension ref="A1:G187"/>
  <sheetViews>
    <sheetView zoomScale="115" zoomScaleNormal="115" workbookViewId="0">
      <pane ySplit="1" topLeftCell="A2" activePane="bottomLeft" state="frozen"/>
      <selection pane="bottomLeft" activeCell="A2" sqref="A2"/>
    </sheetView>
  </sheetViews>
  <sheetFormatPr defaultColWidth="9.109375" defaultRowHeight="30.75" customHeight="1" x14ac:dyDescent="0.3"/>
  <cols>
    <col min="1" max="1" width="5.33203125" style="17" bestFit="1" customWidth="1"/>
    <col min="2" max="2" width="72.44140625" style="17" customWidth="1"/>
    <col min="3" max="3" width="9.109375" style="17"/>
    <col min="4" max="4" width="11.109375" style="97" customWidth="1"/>
    <col min="5" max="5" width="11.109375" style="17" customWidth="1"/>
    <col min="6" max="6" width="14" style="17" bestFit="1" customWidth="1"/>
    <col min="7" max="7" width="8.88671875" customWidth="1"/>
    <col min="8" max="16384" width="9.109375" style="17"/>
  </cols>
  <sheetData>
    <row r="1" spans="1:7" s="56" customFormat="1" ht="30.75" customHeight="1" thickBot="1" x14ac:dyDescent="0.35">
      <c r="A1" s="53" t="s">
        <v>2</v>
      </c>
      <c r="B1" s="54" t="s">
        <v>31</v>
      </c>
      <c r="C1" s="54" t="s">
        <v>32</v>
      </c>
      <c r="D1" s="89" t="s">
        <v>301</v>
      </c>
      <c r="E1" s="54" t="s">
        <v>33</v>
      </c>
      <c r="F1" s="54" t="s">
        <v>34</v>
      </c>
      <c r="G1" s="1"/>
    </row>
    <row r="2" spans="1:7" ht="30.75" customHeight="1" thickBot="1" x14ac:dyDescent="0.35">
      <c r="A2" s="18">
        <v>1</v>
      </c>
      <c r="B2" s="19" t="s">
        <v>35</v>
      </c>
      <c r="C2" s="19" t="s">
        <v>36</v>
      </c>
      <c r="D2" s="90">
        <f>$D$3/2</f>
        <v>0</v>
      </c>
      <c r="E2" s="112"/>
      <c r="F2" s="112"/>
    </row>
    <row r="3" spans="1:7" ht="30.75" customHeight="1" thickBot="1" x14ac:dyDescent="0.35">
      <c r="A3" s="18">
        <v>2</v>
      </c>
      <c r="B3" s="19" t="s">
        <v>37</v>
      </c>
      <c r="C3" s="19" t="s">
        <v>36</v>
      </c>
      <c r="D3" s="90">
        <f>((($D$11+$D$12)/50)*50)/10</f>
        <v>0</v>
      </c>
      <c r="E3" s="113"/>
      <c r="F3" s="113"/>
    </row>
    <row r="4" spans="1:7" ht="30.75" customHeight="1" thickBot="1" x14ac:dyDescent="0.35">
      <c r="A4" s="18">
        <v>3</v>
      </c>
      <c r="B4" s="19" t="s">
        <v>38</v>
      </c>
      <c r="C4" s="19" t="s">
        <v>39</v>
      </c>
      <c r="D4" s="90">
        <f>D143/20</f>
        <v>0</v>
      </c>
      <c r="E4" s="113"/>
      <c r="F4" s="113"/>
    </row>
    <row r="5" spans="1:7" ht="30.75" customHeight="1" thickBot="1" x14ac:dyDescent="0.35">
      <c r="A5" s="18">
        <v>4</v>
      </c>
      <c r="B5" s="19" t="s">
        <v>40</v>
      </c>
      <c r="C5" s="19" t="s">
        <v>39</v>
      </c>
      <c r="D5" s="90">
        <f>'PESQUISA DE DEMANDA'!$E$6/6</f>
        <v>0</v>
      </c>
      <c r="E5" s="113"/>
      <c r="F5" s="113"/>
    </row>
    <row r="6" spans="1:7" ht="30.75" customHeight="1" thickBot="1" x14ac:dyDescent="0.35">
      <c r="A6" s="18">
        <v>5</v>
      </c>
      <c r="B6" s="19" t="s">
        <v>41</v>
      </c>
      <c r="C6" s="19" t="s">
        <v>39</v>
      </c>
      <c r="D6" s="90">
        <f>'PESQUISA DE DEMANDA'!$E$17*0.2</f>
        <v>0</v>
      </c>
      <c r="E6" s="113"/>
      <c r="F6" s="113"/>
    </row>
    <row r="7" spans="1:7" ht="30.75" customHeight="1" thickBot="1" x14ac:dyDescent="0.35">
      <c r="A7" s="18">
        <v>6</v>
      </c>
      <c r="B7" s="19" t="s">
        <v>42</v>
      </c>
      <c r="C7" s="19" t="s">
        <v>39</v>
      </c>
      <c r="D7" s="90">
        <f>'PESQUISA DE DEMANDA'!$E$17*0.2</f>
        <v>0</v>
      </c>
      <c r="E7" s="113"/>
      <c r="F7" s="113"/>
    </row>
    <row r="8" spans="1:7" ht="30.75" customHeight="1" thickBot="1" x14ac:dyDescent="0.35">
      <c r="A8" s="18">
        <v>7</v>
      </c>
      <c r="B8" s="19" t="s">
        <v>43</v>
      </c>
      <c r="C8" s="19" t="s">
        <v>39</v>
      </c>
      <c r="D8" s="90">
        <f>'PESQUISA DE DEMANDA'!$E$17*0.2</f>
        <v>0</v>
      </c>
      <c r="E8" s="113"/>
      <c r="F8" s="113"/>
    </row>
    <row r="9" spans="1:7" ht="30.75" customHeight="1" thickBot="1" x14ac:dyDescent="0.35">
      <c r="A9" s="18">
        <v>8</v>
      </c>
      <c r="B9" s="19" t="s">
        <v>44</v>
      </c>
      <c r="C9" s="19" t="s">
        <v>39</v>
      </c>
      <c r="D9" s="90">
        <f>'PESQUISA DE DEMANDA'!$E$17*0.2</f>
        <v>0</v>
      </c>
      <c r="E9" s="113"/>
      <c r="F9" s="113"/>
    </row>
    <row r="10" spans="1:7" ht="30.75" customHeight="1" thickBot="1" x14ac:dyDescent="0.35">
      <c r="A10" s="18">
        <v>9</v>
      </c>
      <c r="B10" s="19" t="s">
        <v>45</v>
      </c>
      <c r="C10" s="19" t="s">
        <v>39</v>
      </c>
      <c r="D10" s="90">
        <f>'PESQUISA DE DEMANDA'!$E$17*0.2</f>
        <v>0</v>
      </c>
      <c r="E10" s="113"/>
      <c r="F10" s="113"/>
    </row>
    <row r="11" spans="1:7" ht="30.75" customHeight="1" thickBot="1" x14ac:dyDescent="0.35">
      <c r="A11" s="18">
        <v>10</v>
      </c>
      <c r="B11" s="19" t="s">
        <v>46</v>
      </c>
      <c r="C11" s="19" t="s">
        <v>39</v>
      </c>
      <c r="D11" s="90">
        <f>'PESQUISA DE DEMANDA'!E19</f>
        <v>0</v>
      </c>
      <c r="E11" s="113"/>
      <c r="F11" s="113"/>
    </row>
    <row r="12" spans="1:7" ht="30.75" customHeight="1" thickBot="1" x14ac:dyDescent="0.35">
      <c r="A12" s="18">
        <v>11</v>
      </c>
      <c r="B12" s="19" t="s">
        <v>47</v>
      </c>
      <c r="C12" s="19" t="s">
        <v>39</v>
      </c>
      <c r="D12" s="90">
        <f>'PESQUISA DE DEMANDA'!E18</f>
        <v>0</v>
      </c>
      <c r="E12" s="113"/>
      <c r="F12" s="113"/>
    </row>
    <row r="13" spans="1:7" ht="30.75" customHeight="1" thickBot="1" x14ac:dyDescent="0.35">
      <c r="A13" s="18">
        <v>12</v>
      </c>
      <c r="B13" s="19" t="s">
        <v>48</v>
      </c>
      <c r="C13" s="19" t="s">
        <v>39</v>
      </c>
      <c r="D13" s="90">
        <f t="shared" ref="D13:D21" si="0">IF( AND($D$78&gt;=0.5,$D$78&lt;=10), 40,   IF($D$78&gt;10,80, 0))</f>
        <v>0</v>
      </c>
      <c r="E13" s="113"/>
      <c r="F13" s="113"/>
    </row>
    <row r="14" spans="1:7" ht="30.75" customHeight="1" thickBot="1" x14ac:dyDescent="0.35">
      <c r="A14" s="18">
        <v>13</v>
      </c>
      <c r="B14" s="19" t="s">
        <v>49</v>
      </c>
      <c r="C14" s="19" t="s">
        <v>39</v>
      </c>
      <c r="D14" s="90">
        <f t="shared" si="0"/>
        <v>0</v>
      </c>
      <c r="E14" s="113"/>
      <c r="F14" s="113"/>
    </row>
    <row r="15" spans="1:7" ht="30.75" customHeight="1" thickBot="1" x14ac:dyDescent="0.35">
      <c r="A15" s="18">
        <v>14</v>
      </c>
      <c r="B15" s="19" t="s">
        <v>50</v>
      </c>
      <c r="C15" s="19" t="s">
        <v>39</v>
      </c>
      <c r="D15" s="90">
        <f>(IF( AND($D$78&gt;=0.5,$D$78&lt;=10), 40,   IF($D$78&gt;10,80, 0)))*3</f>
        <v>0</v>
      </c>
      <c r="E15" s="113"/>
      <c r="F15" s="113"/>
    </row>
    <row r="16" spans="1:7" ht="30.75" customHeight="1" thickBot="1" x14ac:dyDescent="0.35">
      <c r="A16" s="18">
        <v>15</v>
      </c>
      <c r="B16" s="19" t="s">
        <v>51</v>
      </c>
      <c r="C16" s="19" t="s">
        <v>39</v>
      </c>
      <c r="D16" s="90">
        <f t="shared" si="0"/>
        <v>0</v>
      </c>
      <c r="E16" s="113"/>
      <c r="F16" s="113"/>
    </row>
    <row r="17" spans="1:7" ht="30.75" customHeight="1" thickBot="1" x14ac:dyDescent="0.35">
      <c r="A17" s="18">
        <v>16</v>
      </c>
      <c r="B17" s="19" t="s">
        <v>52</v>
      </c>
      <c r="C17" s="19" t="s">
        <v>39</v>
      </c>
      <c r="D17" s="90">
        <f t="shared" si="0"/>
        <v>0</v>
      </c>
      <c r="E17" s="113"/>
      <c r="F17" s="113"/>
    </row>
    <row r="18" spans="1:7" ht="30.75" customHeight="1" thickBot="1" x14ac:dyDescent="0.35">
      <c r="A18" s="18">
        <v>17</v>
      </c>
      <c r="B18" s="19" t="s">
        <v>53</v>
      </c>
      <c r="C18" s="19" t="s">
        <v>39</v>
      </c>
      <c r="D18" s="90">
        <f>(IF( AND($D$78&gt;=0.5,$D$78&lt;=10), 40,   IF($D$78&gt;10,80, 0)))*3</f>
        <v>0</v>
      </c>
      <c r="E18" s="113"/>
      <c r="F18" s="113"/>
    </row>
    <row r="19" spans="1:7" ht="30.75" customHeight="1" thickBot="1" x14ac:dyDescent="0.35">
      <c r="A19" s="18">
        <v>18</v>
      </c>
      <c r="B19" s="19" t="s">
        <v>54</v>
      </c>
      <c r="C19" s="19" t="s">
        <v>39</v>
      </c>
      <c r="D19" s="90">
        <f t="shared" si="0"/>
        <v>0</v>
      </c>
      <c r="E19" s="113"/>
      <c r="F19" s="113"/>
    </row>
    <row r="20" spans="1:7" ht="30.75" customHeight="1" thickBot="1" x14ac:dyDescent="0.35">
      <c r="A20" s="18">
        <v>19</v>
      </c>
      <c r="B20" s="19" t="s">
        <v>55</v>
      </c>
      <c r="C20" s="19" t="s">
        <v>39</v>
      </c>
      <c r="D20" s="90">
        <f>(IF( AND($D$78&gt;=0.5,$D$78&lt;=10), 40,   IF($D$78&gt;10,80, 0)))*3</f>
        <v>0</v>
      </c>
      <c r="E20" s="113"/>
      <c r="F20" s="113"/>
    </row>
    <row r="21" spans="1:7" ht="30.75" customHeight="1" thickBot="1" x14ac:dyDescent="0.35">
      <c r="A21" s="18">
        <v>20</v>
      </c>
      <c r="B21" s="19" t="s">
        <v>56</v>
      </c>
      <c r="C21" s="19" t="s">
        <v>39</v>
      </c>
      <c r="D21" s="90">
        <f t="shared" si="0"/>
        <v>0</v>
      </c>
      <c r="E21" s="113"/>
      <c r="F21" s="113"/>
    </row>
    <row r="22" spans="1:7" ht="30.75" customHeight="1" thickBot="1" x14ac:dyDescent="0.35">
      <c r="A22" s="18">
        <v>21</v>
      </c>
      <c r="B22" s="19" t="s">
        <v>57</v>
      </c>
      <c r="C22" s="19" t="s">
        <v>39</v>
      </c>
      <c r="D22" s="90">
        <f>IF( AND($D$78&gt;=0.5,$D$78&lt;=10), 40,   IF($D$78&gt;10,80, 0))</f>
        <v>0</v>
      </c>
      <c r="E22" s="113"/>
      <c r="F22" s="113"/>
    </row>
    <row r="23" spans="1:7" ht="30.75" customHeight="1" thickBot="1" x14ac:dyDescent="0.35">
      <c r="A23" s="18">
        <v>22</v>
      </c>
      <c r="B23" s="19" t="s">
        <v>58</v>
      </c>
      <c r="C23" s="19" t="s">
        <v>39</v>
      </c>
      <c r="D23" s="90">
        <f>(IF( AND($D$78&gt;=0.5,$D$78&lt;=10), 40,   IF($D$78&gt;10,80, 0)))*3</f>
        <v>0</v>
      </c>
      <c r="E23" s="113"/>
      <c r="F23" s="113"/>
    </row>
    <row r="24" spans="1:7" ht="30.75" customHeight="1" thickBot="1" x14ac:dyDescent="0.35">
      <c r="A24" s="18">
        <v>23</v>
      </c>
      <c r="B24" s="19" t="s">
        <v>59</v>
      </c>
      <c r="C24" s="19" t="s">
        <v>39</v>
      </c>
      <c r="D24" s="90">
        <f>IF( AND($D$78&gt;=0.5,$D$78&lt;=10), 40,   IF($D$78&gt;10,80, 0))</f>
        <v>0</v>
      </c>
      <c r="E24" s="113"/>
      <c r="F24" s="113"/>
    </row>
    <row r="25" spans="1:7" ht="30.75" customHeight="1" thickBot="1" x14ac:dyDescent="0.35">
      <c r="A25" s="18">
        <v>24</v>
      </c>
      <c r="B25" s="19" t="s">
        <v>60</v>
      </c>
      <c r="C25" s="19" t="s">
        <v>39</v>
      </c>
      <c r="D25" s="90">
        <f>'PESQUISA DE DEMANDA'!$E$15*33</f>
        <v>0</v>
      </c>
      <c r="E25" s="113"/>
      <c r="F25" s="113"/>
    </row>
    <row r="26" spans="1:7" ht="30.75" customHeight="1" thickBot="1" x14ac:dyDescent="0.35">
      <c r="A26" s="18">
        <v>25</v>
      </c>
      <c r="B26" s="19" t="s">
        <v>61</v>
      </c>
      <c r="C26" s="19" t="s">
        <v>39</v>
      </c>
      <c r="D26" s="90">
        <f>'PESQUISA DE DEMANDA'!$E$15*33</f>
        <v>0</v>
      </c>
      <c r="E26" s="113"/>
      <c r="F26" s="113"/>
    </row>
    <row r="27" spans="1:7" ht="30.75" customHeight="1" thickBot="1" x14ac:dyDescent="0.35">
      <c r="A27" s="18">
        <v>26</v>
      </c>
      <c r="B27" s="19" t="s">
        <v>62</v>
      </c>
      <c r="C27" s="19" t="s">
        <v>39</v>
      </c>
      <c r="D27" s="90">
        <f>'PESQUISA DE DEMANDA'!$E$15*33</f>
        <v>0</v>
      </c>
      <c r="E27" s="113"/>
      <c r="F27" s="113"/>
    </row>
    <row r="28" spans="1:7" ht="30.75" customHeight="1" thickBot="1" x14ac:dyDescent="0.35">
      <c r="A28" s="18">
        <v>27</v>
      </c>
      <c r="B28" s="19" t="s">
        <v>63</v>
      </c>
      <c r="C28" s="19" t="s">
        <v>39</v>
      </c>
      <c r="D28" s="90">
        <f>(IF( AND($D$78&gt;10,$D$78&lt;=45), 40,   IF($D$78&gt;45,80, 0)))*3</f>
        <v>0</v>
      </c>
      <c r="E28" s="113"/>
      <c r="F28" s="113"/>
    </row>
    <row r="29" spans="1:7" ht="30.75" customHeight="1" thickBot="1" x14ac:dyDescent="0.35">
      <c r="A29" s="18">
        <v>28</v>
      </c>
      <c r="B29" s="19" t="s">
        <v>64</v>
      </c>
      <c r="C29" s="19" t="s">
        <v>39</v>
      </c>
      <c r="D29" s="90">
        <f>IF( AND($D$78&gt;=10,$D$78&lt;=45), 40,   IF($D$78&gt;45,80, 0))</f>
        <v>0</v>
      </c>
      <c r="E29" s="113"/>
      <c r="F29" s="113"/>
    </row>
    <row r="30" spans="1:7" ht="30.75" customHeight="1" thickBot="1" x14ac:dyDescent="0.35">
      <c r="A30" s="18">
        <v>29</v>
      </c>
      <c r="B30" s="19" t="s">
        <v>65</v>
      </c>
      <c r="C30" s="19" t="s">
        <v>39</v>
      </c>
      <c r="D30" s="90">
        <f>IF( AND($D$78&gt;=10,$D$78&lt;=45), 40,   IF($D$78&gt;45,80, 0))</f>
        <v>0</v>
      </c>
      <c r="E30" s="113"/>
      <c r="F30" s="113"/>
    </row>
    <row r="31" spans="1:7" ht="30.75" customHeight="1" thickBot="1" x14ac:dyDescent="0.35">
      <c r="A31" s="18">
        <v>30</v>
      </c>
      <c r="B31" s="19" t="s">
        <v>66</v>
      </c>
      <c r="C31" s="19" t="s">
        <v>39</v>
      </c>
      <c r="D31" s="90">
        <f>IF( AND($D$76&gt;=45,$D$76&lt;=60), 40,   IF($D$76&gt;60,80, 0))</f>
        <v>0</v>
      </c>
      <c r="E31" s="113"/>
      <c r="F31" s="113"/>
      <c r="G31" s="20"/>
    </row>
    <row r="32" spans="1:7" ht="30.75" customHeight="1" thickBot="1" x14ac:dyDescent="0.35">
      <c r="A32" s="18">
        <v>31</v>
      </c>
      <c r="B32" s="19" t="s">
        <v>67</v>
      </c>
      <c r="C32" s="19" t="s">
        <v>39</v>
      </c>
      <c r="D32" s="90">
        <f>3*(IF( AND($D$76&gt;=45,$D$76&lt;=60), 40,   IF($D$76&gt;60,80, 0)))</f>
        <v>0</v>
      </c>
      <c r="E32" s="113"/>
      <c r="F32" s="113"/>
    </row>
    <row r="33" spans="1:7" ht="30.75" customHeight="1" thickBot="1" x14ac:dyDescent="0.35">
      <c r="A33" s="18">
        <v>32</v>
      </c>
      <c r="B33" s="19" t="s">
        <v>68</v>
      </c>
      <c r="C33" s="19" t="s">
        <v>39</v>
      </c>
      <c r="D33" s="90">
        <f>IF( AND($D$76&gt;=45,$D$76&lt;=60), 40,   IF($D$76&gt;60,80, 0))</f>
        <v>0</v>
      </c>
      <c r="E33" s="113"/>
      <c r="F33" s="113"/>
    </row>
    <row r="34" spans="1:7" ht="30.75" customHeight="1" thickBot="1" x14ac:dyDescent="0.35">
      <c r="A34" s="18">
        <v>33</v>
      </c>
      <c r="B34" s="19" t="s">
        <v>69</v>
      </c>
      <c r="C34" s="19" t="s">
        <v>39</v>
      </c>
      <c r="D34" s="90">
        <f>IF( AND($D$76&gt;=60,$D$76&lt;=75), 40,   IF($D$76&gt;75,80, 0))</f>
        <v>0</v>
      </c>
      <c r="E34" s="113"/>
      <c r="F34" s="113"/>
      <c r="G34" s="20"/>
    </row>
    <row r="35" spans="1:7" ht="30.75" customHeight="1" thickBot="1" x14ac:dyDescent="0.35">
      <c r="A35" s="18">
        <v>34</v>
      </c>
      <c r="B35" s="19" t="s">
        <v>70</v>
      </c>
      <c r="C35" s="19" t="s">
        <v>39</v>
      </c>
      <c r="D35" s="90">
        <f>3*(IF( AND($D$76&gt;=60,$D$76&lt;=75), 40,   IF($D$76&gt;75,80, 0)))</f>
        <v>0</v>
      </c>
      <c r="E35" s="113"/>
      <c r="F35" s="113"/>
    </row>
    <row r="36" spans="1:7" ht="30.75" customHeight="1" thickBot="1" x14ac:dyDescent="0.35">
      <c r="A36" s="18">
        <v>35</v>
      </c>
      <c r="B36" s="19" t="s">
        <v>71</v>
      </c>
      <c r="C36" s="19" t="s">
        <v>39</v>
      </c>
      <c r="D36" s="90">
        <f>IF( AND($D$76&gt;=60,$D$76&lt;=75), 40,   IF($D$76&gt;75,80, 0))</f>
        <v>0</v>
      </c>
      <c r="E36" s="113"/>
      <c r="F36" s="113"/>
      <c r="G36" s="20"/>
    </row>
    <row r="37" spans="1:7" ht="30.75" customHeight="1" thickBot="1" x14ac:dyDescent="0.35">
      <c r="A37" s="18">
        <v>36</v>
      </c>
      <c r="B37" s="19" t="s">
        <v>72</v>
      </c>
      <c r="C37" s="19" t="s">
        <v>39</v>
      </c>
      <c r="D37" s="90">
        <f>IF( AND($D$76&gt;=75,$D$76&lt;=90), 40,   IF($D$76&gt;90,80, 0))</f>
        <v>0</v>
      </c>
      <c r="E37" s="113"/>
      <c r="F37" s="113"/>
      <c r="G37" s="20"/>
    </row>
    <row r="38" spans="1:7" ht="30.75" customHeight="1" thickBot="1" x14ac:dyDescent="0.35">
      <c r="A38" s="18">
        <v>37</v>
      </c>
      <c r="B38" s="19" t="s">
        <v>73</v>
      </c>
      <c r="C38" s="19" t="s">
        <v>39</v>
      </c>
      <c r="D38" s="90">
        <f>3*(IF( AND($D$76&gt;=75,$D$76&lt;=90), 40,   IF($D$76&gt;90,80, 0)))</f>
        <v>0</v>
      </c>
      <c r="E38" s="113"/>
      <c r="F38" s="113"/>
    </row>
    <row r="39" spans="1:7" ht="30.75" customHeight="1" thickBot="1" x14ac:dyDescent="0.35">
      <c r="A39" s="18">
        <v>38</v>
      </c>
      <c r="B39" s="19" t="s">
        <v>74</v>
      </c>
      <c r="C39" s="19" t="s">
        <v>39</v>
      </c>
      <c r="D39" s="90">
        <f>IF( AND($D$76&gt;=75,$D$76&lt;=90), 40,   IF($D$76&gt;90,80, 0))</f>
        <v>0</v>
      </c>
      <c r="E39" s="113"/>
      <c r="F39" s="113"/>
    </row>
    <row r="40" spans="1:7" ht="30.75" customHeight="1" thickBot="1" x14ac:dyDescent="0.35">
      <c r="A40" s="18">
        <v>39</v>
      </c>
      <c r="B40" s="19" t="s">
        <v>75</v>
      </c>
      <c r="C40" s="19" t="s">
        <v>39</v>
      </c>
      <c r="D40" s="90">
        <f>IF( AND($D$76&gt;=90,$D$76&lt;=110), 40,   IF($D$76&gt;110,80, 0))</f>
        <v>0</v>
      </c>
      <c r="E40" s="113"/>
      <c r="F40" s="113"/>
    </row>
    <row r="41" spans="1:7" ht="30.75" customHeight="1" thickBot="1" x14ac:dyDescent="0.35">
      <c r="A41" s="18">
        <v>40</v>
      </c>
      <c r="B41" s="19" t="s">
        <v>76</v>
      </c>
      <c r="C41" s="19" t="s">
        <v>39</v>
      </c>
      <c r="D41" s="90">
        <f>3*(IF( AND($D$76&gt;=90,$D$76&lt;=110), 40,   IF($D$76&gt;110,80, 0)))</f>
        <v>0</v>
      </c>
      <c r="E41" s="113"/>
      <c r="F41" s="113"/>
    </row>
    <row r="42" spans="1:7" ht="30.75" customHeight="1" thickBot="1" x14ac:dyDescent="0.35">
      <c r="A42" s="18">
        <v>41</v>
      </c>
      <c r="B42" s="19" t="s">
        <v>77</v>
      </c>
      <c r="C42" s="19" t="s">
        <v>39</v>
      </c>
      <c r="D42" s="90">
        <f>IF( AND($D$76&gt;=90,$D$76&lt;=110), 40,   IF($D$76&gt;110,80, 0))</f>
        <v>0</v>
      </c>
      <c r="E42" s="113"/>
      <c r="F42" s="113"/>
    </row>
    <row r="43" spans="1:7" ht="30.75" customHeight="1" thickBot="1" x14ac:dyDescent="0.35">
      <c r="A43" s="18">
        <v>42</v>
      </c>
      <c r="B43" s="19" t="s">
        <v>78</v>
      </c>
      <c r="C43" s="19" t="s">
        <v>36</v>
      </c>
      <c r="D43" s="90">
        <f>'PESQUISA DE DEMANDA'!$E$14</f>
        <v>0</v>
      </c>
      <c r="E43" s="113"/>
      <c r="F43" s="113"/>
    </row>
    <row r="44" spans="1:7" ht="30.75" customHeight="1" thickBot="1" x14ac:dyDescent="0.35">
      <c r="A44" s="18">
        <v>43</v>
      </c>
      <c r="B44" s="19" t="s">
        <v>79</v>
      </c>
      <c r="C44" s="19" t="s">
        <v>36</v>
      </c>
      <c r="D44" s="90">
        <f>'PESQUISA DE DEMANDA'!$E$14</f>
        <v>0</v>
      </c>
      <c r="E44" s="113"/>
      <c r="F44" s="113"/>
    </row>
    <row r="45" spans="1:7" ht="30.75" customHeight="1" thickBot="1" x14ac:dyDescent="0.35">
      <c r="A45" s="18">
        <v>44</v>
      </c>
      <c r="B45" s="19" t="s">
        <v>80</v>
      </c>
      <c r="C45" s="19" t="s">
        <v>36</v>
      </c>
      <c r="D45" s="90">
        <f>'PESQUISA DE DEMANDA'!$E$17/500</f>
        <v>0</v>
      </c>
      <c r="E45" s="113"/>
      <c r="F45" s="113"/>
    </row>
    <row r="46" spans="1:7" ht="30.75" customHeight="1" thickBot="1" x14ac:dyDescent="0.35">
      <c r="A46" s="18">
        <v>45</v>
      </c>
      <c r="B46" s="19" t="s">
        <v>81</v>
      </c>
      <c r="C46" s="19" t="s">
        <v>36</v>
      </c>
      <c r="D46" s="90">
        <f>'PESQUISA DE DEMANDA'!$E$17/500</f>
        <v>0</v>
      </c>
      <c r="E46" s="113"/>
      <c r="F46" s="113"/>
    </row>
    <row r="47" spans="1:7" ht="39" customHeight="1" thickBot="1" x14ac:dyDescent="0.35">
      <c r="A47" s="18">
        <v>46</v>
      </c>
      <c r="B47" s="19" t="s">
        <v>82</v>
      </c>
      <c r="C47" s="19" t="s">
        <v>39</v>
      </c>
      <c r="D47" s="90">
        <f>('PESQUISA DE DEMANDA'!$E$6+'PESQUISA DE DEMANDA'!$E$7+'PESQUISA DE DEMANDA'!$E$8+'PESQUISA DE DEMANDA'!$E$9+'PESQUISA DE DEMANDA'!$E$11)/5</f>
        <v>0</v>
      </c>
      <c r="E47" s="113"/>
      <c r="F47" s="113"/>
    </row>
    <row r="48" spans="1:7" ht="30.75" customHeight="1" thickBot="1" x14ac:dyDescent="0.35">
      <c r="A48" s="18">
        <v>47</v>
      </c>
      <c r="B48" s="19" t="s">
        <v>83</v>
      </c>
      <c r="C48" s="19" t="s">
        <v>36</v>
      </c>
      <c r="D48" s="90">
        <f>$D$110</f>
        <v>0</v>
      </c>
      <c r="E48" s="113"/>
      <c r="F48" s="113"/>
    </row>
    <row r="49" spans="1:6" ht="30.75" customHeight="1" thickBot="1" x14ac:dyDescent="0.35">
      <c r="A49" s="18">
        <v>48</v>
      </c>
      <c r="B49" s="19" t="s">
        <v>84</v>
      </c>
      <c r="C49" s="19" t="s">
        <v>36</v>
      </c>
      <c r="D49" s="90">
        <f>$D$110</f>
        <v>0</v>
      </c>
      <c r="E49" s="113"/>
      <c r="F49" s="113"/>
    </row>
    <row r="50" spans="1:6" ht="30.75" customHeight="1" thickBot="1" x14ac:dyDescent="0.35">
      <c r="A50" s="18">
        <v>49</v>
      </c>
      <c r="B50" s="19" t="s">
        <v>85</v>
      </c>
      <c r="C50" s="19" t="s">
        <v>36</v>
      </c>
      <c r="D50" s="90">
        <f>$D$110</f>
        <v>0</v>
      </c>
      <c r="E50" s="113"/>
      <c r="F50" s="113"/>
    </row>
    <row r="51" spans="1:6" ht="30.75" customHeight="1" thickBot="1" x14ac:dyDescent="0.35">
      <c r="A51" s="18">
        <v>50</v>
      </c>
      <c r="B51" s="19" t="s">
        <v>86</v>
      </c>
      <c r="C51" s="19" t="s">
        <v>36</v>
      </c>
      <c r="D51" s="90">
        <f>FLOOR(('PESQUISA DE DEMANDA'!$E$17/50),2)</f>
        <v>0</v>
      </c>
      <c r="E51" s="113"/>
      <c r="F51" s="113"/>
    </row>
    <row r="52" spans="1:6" ht="30.75" customHeight="1" thickBot="1" x14ac:dyDescent="0.35">
      <c r="A52" s="18">
        <v>51</v>
      </c>
      <c r="B52" s="19" t="s">
        <v>87</v>
      </c>
      <c r="C52" s="19" t="s">
        <v>36</v>
      </c>
      <c r="D52" s="90">
        <f>'PESQUISA DE DEMANDA'!$E$16/5</f>
        <v>0</v>
      </c>
      <c r="E52" s="113"/>
      <c r="F52" s="113"/>
    </row>
    <row r="53" spans="1:6" ht="30.75" customHeight="1" thickBot="1" x14ac:dyDescent="0.35">
      <c r="A53" s="18">
        <v>52</v>
      </c>
      <c r="B53" s="19" t="s">
        <v>88</v>
      </c>
      <c r="C53" s="19" t="s">
        <v>36</v>
      </c>
      <c r="D53" s="90">
        <f>'PESQUISA DE DEMANDA'!$E$16/5</f>
        <v>0</v>
      </c>
      <c r="E53" s="113"/>
      <c r="F53" s="113"/>
    </row>
    <row r="54" spans="1:6" ht="30.75" customHeight="1" thickBot="1" x14ac:dyDescent="0.35">
      <c r="A54" s="18">
        <v>53</v>
      </c>
      <c r="B54" s="19" t="s">
        <v>89</v>
      </c>
      <c r="C54" s="19" t="s">
        <v>36</v>
      </c>
      <c r="D54" s="90">
        <f>'PESQUISA DE DEMANDA'!$E$16/5</f>
        <v>0</v>
      </c>
      <c r="E54" s="113"/>
      <c r="F54" s="113"/>
    </row>
    <row r="55" spans="1:6" ht="30.75" customHeight="1" thickBot="1" x14ac:dyDescent="0.35">
      <c r="A55" s="18">
        <v>54</v>
      </c>
      <c r="B55" s="19" t="s">
        <v>90</v>
      </c>
      <c r="C55" s="19" t="s">
        <v>36</v>
      </c>
      <c r="D55" s="90">
        <f>'PESQUISA DE DEMANDA'!$E$16/5</f>
        <v>0</v>
      </c>
      <c r="E55" s="113"/>
      <c r="F55" s="113"/>
    </row>
    <row r="56" spans="1:6" ht="30.75" customHeight="1" thickBot="1" x14ac:dyDescent="0.35">
      <c r="A56" s="18">
        <v>55</v>
      </c>
      <c r="B56" s="19" t="s">
        <v>91</v>
      </c>
      <c r="C56" s="19" t="s">
        <v>36</v>
      </c>
      <c r="D56" s="90">
        <f>'PESQUISA DE DEMANDA'!$E$16/5</f>
        <v>0</v>
      </c>
      <c r="E56" s="113"/>
      <c r="F56" s="113"/>
    </row>
    <row r="57" spans="1:6" ht="30.75" customHeight="1" thickBot="1" x14ac:dyDescent="0.35">
      <c r="A57" s="18">
        <v>56</v>
      </c>
      <c r="B57" s="19" t="s">
        <v>92</v>
      </c>
      <c r="C57" s="19" t="s">
        <v>36</v>
      </c>
      <c r="D57" s="90">
        <f>($D$3)*0.1</f>
        <v>0</v>
      </c>
      <c r="E57" s="113"/>
      <c r="F57" s="113"/>
    </row>
    <row r="58" spans="1:6" ht="30.75" customHeight="1" thickBot="1" x14ac:dyDescent="0.35">
      <c r="A58" s="18">
        <v>57</v>
      </c>
      <c r="B58" s="19" t="s">
        <v>93</v>
      </c>
      <c r="C58" s="19" t="s">
        <v>36</v>
      </c>
      <c r="D58" s="90">
        <f>(('PESQUISA DE DEMANDA'!$E$6*2)+'PESQUISA DE DEMANDA'!$E$8)/2</f>
        <v>0</v>
      </c>
      <c r="E58" s="113"/>
      <c r="F58" s="113"/>
    </row>
    <row r="59" spans="1:6" ht="30.75" customHeight="1" thickBot="1" x14ac:dyDescent="0.35">
      <c r="A59" s="18">
        <v>58</v>
      </c>
      <c r="B59" s="19" t="s">
        <v>94</v>
      </c>
      <c r="C59" s="19" t="s">
        <v>36</v>
      </c>
      <c r="D59" s="90">
        <f>(('PESQUISA DE DEMANDA'!$E$6*2)+'PESQUISA DE DEMANDA'!$E$8)/2</f>
        <v>0</v>
      </c>
      <c r="E59" s="113"/>
      <c r="F59" s="113"/>
    </row>
    <row r="60" spans="1:6" ht="30.75" customHeight="1" thickBot="1" x14ac:dyDescent="0.35">
      <c r="A60" s="18">
        <v>59</v>
      </c>
      <c r="B60" s="19" t="s">
        <v>95</v>
      </c>
      <c r="C60" s="19" t="s">
        <v>36</v>
      </c>
      <c r="D60" s="90">
        <f>(('PESQUISA DE DEMANDA'!$E$7*2)+'PESQUISA DE DEMANDA'!$E$9)</f>
        <v>0</v>
      </c>
      <c r="E60" s="113"/>
      <c r="F60" s="113"/>
    </row>
    <row r="61" spans="1:6" ht="30.75" customHeight="1" thickBot="1" x14ac:dyDescent="0.35">
      <c r="A61" s="18">
        <v>60</v>
      </c>
      <c r="B61" s="19" t="s">
        <v>96</v>
      </c>
      <c r="C61" s="19" t="s">
        <v>36</v>
      </c>
      <c r="D61" s="90">
        <f>'PESQUISA DE DEMANDA'!E10</f>
        <v>0</v>
      </c>
      <c r="E61" s="113"/>
      <c r="F61" s="113"/>
    </row>
    <row r="62" spans="1:6" ht="30.75" customHeight="1" thickBot="1" x14ac:dyDescent="0.35">
      <c r="A62" s="18">
        <v>61</v>
      </c>
      <c r="B62" s="19" t="s">
        <v>97</v>
      </c>
      <c r="C62" s="19" t="s">
        <v>36</v>
      </c>
      <c r="D62" s="90">
        <f>('PESQUISA DE DEMANDA'!$E$7*2)+('PESQUISA DE DEMANDA'!$E$9)</f>
        <v>0</v>
      </c>
      <c r="E62" s="113"/>
      <c r="F62" s="113"/>
    </row>
    <row r="63" spans="1:6" ht="30.75" customHeight="1" thickBot="1" x14ac:dyDescent="0.35">
      <c r="A63" s="18">
        <v>62</v>
      </c>
      <c r="B63" s="19" t="s">
        <v>98</v>
      </c>
      <c r="C63" s="19" t="s">
        <v>36</v>
      </c>
      <c r="D63" s="90">
        <f>'PESQUISA DE DEMANDA'!$E$10</f>
        <v>0</v>
      </c>
      <c r="E63" s="113"/>
      <c r="F63" s="113"/>
    </row>
    <row r="64" spans="1:6" ht="30.75" customHeight="1" thickBot="1" x14ac:dyDescent="0.35">
      <c r="A64" s="18">
        <v>63</v>
      </c>
      <c r="B64" s="19" t="s">
        <v>99</v>
      </c>
      <c r="C64" s="19" t="s">
        <v>36</v>
      </c>
      <c r="D64" s="90">
        <f>'PESQUISA DE DEMANDA'!$E$20*4</f>
        <v>0</v>
      </c>
      <c r="E64" s="113"/>
      <c r="F64" s="113"/>
    </row>
    <row r="65" spans="1:6" ht="30.75" customHeight="1" thickBot="1" x14ac:dyDescent="0.35">
      <c r="A65" s="18">
        <v>64</v>
      </c>
      <c r="B65" s="19" t="s">
        <v>100</v>
      </c>
      <c r="C65" s="19" t="s">
        <v>36</v>
      </c>
      <c r="D65" s="90">
        <f>'PESQUISA DE DEMANDA'!$E$10*0.2</f>
        <v>0</v>
      </c>
      <c r="E65" s="113"/>
      <c r="F65" s="113"/>
    </row>
    <row r="66" spans="1:6" ht="30.75" customHeight="1" thickBot="1" x14ac:dyDescent="0.35">
      <c r="A66" s="18">
        <v>65</v>
      </c>
      <c r="B66" s="19" t="s">
        <v>101</v>
      </c>
      <c r="C66" s="19" t="s">
        <v>36</v>
      </c>
      <c r="D66" s="90">
        <f>(('PESQUISA DE DEMANDA'!$E$6*2)+'PESQUISA DE DEMANDA'!$E$8)</f>
        <v>0</v>
      </c>
      <c r="E66" s="113"/>
      <c r="F66" s="113"/>
    </row>
    <row r="67" spans="1:6" ht="30.75" customHeight="1" thickBot="1" x14ac:dyDescent="0.35">
      <c r="A67" s="18">
        <v>66</v>
      </c>
      <c r="B67" s="19" t="s">
        <v>102</v>
      </c>
      <c r="C67" s="19" t="s">
        <v>36</v>
      </c>
      <c r="D67" s="90">
        <f>'PESQUISA DE DEMANDA'!$E$6*0.083</f>
        <v>0</v>
      </c>
      <c r="E67" s="113"/>
      <c r="F67" s="113"/>
    </row>
    <row r="68" spans="1:6" ht="30.75" customHeight="1" thickBot="1" x14ac:dyDescent="0.35">
      <c r="A68" s="18">
        <v>67</v>
      </c>
      <c r="B68" s="19" t="s">
        <v>103</v>
      </c>
      <c r="C68" s="19" t="s">
        <v>36</v>
      </c>
      <c r="D68" s="90">
        <f>($D$64*0.05)+($D$62*0.05)</f>
        <v>0</v>
      </c>
      <c r="E68" s="113"/>
      <c r="F68" s="113"/>
    </row>
    <row r="69" spans="1:6" ht="30.75" customHeight="1" thickBot="1" x14ac:dyDescent="0.35">
      <c r="A69" s="18">
        <v>68</v>
      </c>
      <c r="B69" s="19" t="s">
        <v>104</v>
      </c>
      <c r="C69" s="19" t="s">
        <v>36</v>
      </c>
      <c r="D69" s="90">
        <f>('PESQUISA DE DEMANDA'!$E$10)*0.05</f>
        <v>0</v>
      </c>
      <c r="E69" s="113"/>
      <c r="F69" s="113"/>
    </row>
    <row r="70" spans="1:6" ht="30.75" customHeight="1" thickBot="1" x14ac:dyDescent="0.35">
      <c r="A70" s="18">
        <v>69</v>
      </c>
      <c r="B70" s="19" t="s">
        <v>105</v>
      </c>
      <c r="C70" s="19" t="s">
        <v>36</v>
      </c>
      <c r="D70" s="90">
        <f>'PESQUISA DE DEMANDA'!$E$12*0.35</f>
        <v>0</v>
      </c>
      <c r="E70" s="113"/>
      <c r="F70" s="113"/>
    </row>
    <row r="71" spans="1:6" ht="30.75" customHeight="1" thickBot="1" x14ac:dyDescent="0.35">
      <c r="A71" s="18">
        <v>70</v>
      </c>
      <c r="B71" s="19" t="s">
        <v>106</v>
      </c>
      <c r="C71" s="19" t="s">
        <v>36</v>
      </c>
      <c r="D71" s="90">
        <f>'PESQUISA DE DEMANDA'!E12*0.35</f>
        <v>0</v>
      </c>
      <c r="E71" s="113"/>
      <c r="F71" s="113"/>
    </row>
    <row r="72" spans="1:6" ht="30.75" customHeight="1" thickBot="1" x14ac:dyDescent="0.35">
      <c r="A72" s="18">
        <v>71</v>
      </c>
      <c r="B72" s="19" t="s">
        <v>107</v>
      </c>
      <c r="C72" s="19" t="s">
        <v>36</v>
      </c>
      <c r="D72" s="90">
        <f>'PESQUISA DE DEMANDA'!$E$12*0.35</f>
        <v>0</v>
      </c>
      <c r="E72" s="113"/>
      <c r="F72" s="113"/>
    </row>
    <row r="73" spans="1:6" ht="30.75" customHeight="1" thickBot="1" x14ac:dyDescent="0.35">
      <c r="A73" s="18">
        <v>72</v>
      </c>
      <c r="B73" s="19" t="s">
        <v>108</v>
      </c>
      <c r="C73" s="19" t="s">
        <v>36</v>
      </c>
      <c r="D73" s="90">
        <f t="shared" ref="D73:D77" si="1">SUM($D$110:$D$111)</f>
        <v>0</v>
      </c>
      <c r="E73" s="113"/>
      <c r="F73" s="113"/>
    </row>
    <row r="74" spans="1:6" ht="30.75" customHeight="1" thickBot="1" x14ac:dyDescent="0.35">
      <c r="A74" s="18">
        <v>73</v>
      </c>
      <c r="B74" s="19" t="s">
        <v>109</v>
      </c>
      <c r="C74" s="19" t="s">
        <v>36</v>
      </c>
      <c r="D74" s="90">
        <f t="shared" si="1"/>
        <v>0</v>
      </c>
      <c r="E74" s="113"/>
      <c r="F74" s="113"/>
    </row>
    <row r="75" spans="1:6" ht="30.75" customHeight="1" thickBot="1" x14ac:dyDescent="0.35">
      <c r="A75" s="18">
        <v>74</v>
      </c>
      <c r="B75" s="19" t="s">
        <v>110</v>
      </c>
      <c r="C75" s="19" t="s">
        <v>36</v>
      </c>
      <c r="D75" s="90">
        <f t="shared" si="1"/>
        <v>0</v>
      </c>
      <c r="E75" s="113"/>
      <c r="F75" s="113"/>
    </row>
    <row r="76" spans="1:6" ht="30.75" customHeight="1" thickBot="1" x14ac:dyDescent="0.35">
      <c r="A76" s="18">
        <v>75</v>
      </c>
      <c r="B76" s="19" t="s">
        <v>111</v>
      </c>
      <c r="C76" s="19" t="s">
        <v>36</v>
      </c>
      <c r="D76" s="90">
        <f t="shared" si="1"/>
        <v>0</v>
      </c>
      <c r="E76" s="113"/>
      <c r="F76" s="113"/>
    </row>
    <row r="77" spans="1:6" ht="30.75" customHeight="1" thickBot="1" x14ac:dyDescent="0.35">
      <c r="A77" s="18">
        <v>76</v>
      </c>
      <c r="B77" s="19" t="s">
        <v>112</v>
      </c>
      <c r="C77" s="19" t="s">
        <v>36</v>
      </c>
      <c r="D77" s="90">
        <f t="shared" si="1"/>
        <v>0</v>
      </c>
      <c r="E77" s="113"/>
      <c r="F77" s="113"/>
    </row>
    <row r="78" spans="1:6" ht="30.75" customHeight="1" thickBot="1" x14ac:dyDescent="0.35">
      <c r="A78" s="18">
        <v>77</v>
      </c>
      <c r="B78" s="19" t="s">
        <v>113</v>
      </c>
      <c r="C78" s="19" t="s">
        <v>36</v>
      </c>
      <c r="D78" s="90">
        <f>SUM($D$110:$D$111)</f>
        <v>0</v>
      </c>
      <c r="E78" s="113"/>
      <c r="F78" s="113"/>
    </row>
    <row r="79" spans="1:6" ht="30.75" customHeight="1" thickBot="1" x14ac:dyDescent="0.35">
      <c r="A79" s="18">
        <v>78</v>
      </c>
      <c r="B79" s="19" t="s">
        <v>114</v>
      </c>
      <c r="C79" s="19" t="s">
        <v>36</v>
      </c>
      <c r="D79" s="90">
        <f>(('PESQUISA DE DEMANDA'!$E$6*2)+('PESQUISA DE DEMANDA'!$E$7*2)+('PESQUISA DE DEMANDA'!$E$14)+('PESQUISA DE DEMANDA'!$E$15)+('PESQUISA DE DEMANDA'!$E$20*9))/5</f>
        <v>0</v>
      </c>
      <c r="E79" s="113"/>
      <c r="F79" s="113"/>
    </row>
    <row r="80" spans="1:6" ht="30.75" customHeight="1" thickBot="1" x14ac:dyDescent="0.35">
      <c r="A80" s="18">
        <v>79</v>
      </c>
      <c r="B80" s="19" t="s">
        <v>115</v>
      </c>
      <c r="C80" s="19" t="s">
        <v>36</v>
      </c>
      <c r="D80" s="90">
        <f>(('PESQUISA DE DEMANDA'!$E$6*2)+('PESQUISA DE DEMANDA'!$E$7*2)+('PESQUISA DE DEMANDA'!$E$14)+('PESQUISA DE DEMANDA'!$E$20*9))/8</f>
        <v>0</v>
      </c>
      <c r="E80" s="113"/>
      <c r="F80" s="113"/>
    </row>
    <row r="81" spans="1:6" ht="30.75" customHeight="1" thickBot="1" x14ac:dyDescent="0.35">
      <c r="A81" s="18">
        <v>80</v>
      </c>
      <c r="B81" s="19" t="s">
        <v>116</v>
      </c>
      <c r="C81" s="19" t="s">
        <v>36</v>
      </c>
      <c r="D81" s="90">
        <f>'PESQUISA DE DEMANDA'!E15</f>
        <v>0</v>
      </c>
      <c r="E81" s="113"/>
      <c r="F81" s="113"/>
    </row>
    <row r="82" spans="1:6" ht="30.75" customHeight="1" thickBot="1" x14ac:dyDescent="0.35">
      <c r="A82" s="18">
        <v>81</v>
      </c>
      <c r="B82" s="19" t="s">
        <v>117</v>
      </c>
      <c r="C82" s="19" t="s">
        <v>36</v>
      </c>
      <c r="D82" s="90">
        <f>$D$110+$D$109*2</f>
        <v>0</v>
      </c>
      <c r="E82" s="113"/>
      <c r="F82" s="113"/>
    </row>
    <row r="83" spans="1:6" ht="30.75" customHeight="1" thickBot="1" x14ac:dyDescent="0.35">
      <c r="A83" s="18">
        <v>82</v>
      </c>
      <c r="B83" s="19" t="s">
        <v>118</v>
      </c>
      <c r="C83" s="19" t="s">
        <v>36</v>
      </c>
      <c r="D83" s="90">
        <f>$D$110+$D$109/2</f>
        <v>0</v>
      </c>
      <c r="E83" s="113"/>
      <c r="F83" s="113"/>
    </row>
    <row r="84" spans="1:6" ht="30.75" customHeight="1" thickBot="1" x14ac:dyDescent="0.35">
      <c r="A84" s="18">
        <v>83</v>
      </c>
      <c r="B84" s="19" t="s">
        <v>119</v>
      </c>
      <c r="C84" s="19" t="s">
        <v>36</v>
      </c>
      <c r="D84" s="90">
        <f>('PESQUISA DE DEMANDA'!$E$16/10)+(('PESQUISA DE DEMANDA'!$E$20)/12)</f>
        <v>0</v>
      </c>
      <c r="E84" s="113"/>
      <c r="F84" s="113"/>
    </row>
    <row r="85" spans="1:6" ht="30.75" customHeight="1" thickBot="1" x14ac:dyDescent="0.35">
      <c r="A85" s="18">
        <v>84</v>
      </c>
      <c r="B85" s="19" t="s">
        <v>120</v>
      </c>
      <c r="C85" s="19" t="s">
        <v>36</v>
      </c>
      <c r="D85" s="90">
        <f>'PESQUISA DE DEMANDA'!$E$16/10</f>
        <v>0</v>
      </c>
      <c r="E85" s="113"/>
      <c r="F85" s="113"/>
    </row>
    <row r="86" spans="1:6" ht="30.75" customHeight="1" thickBot="1" x14ac:dyDescent="0.35">
      <c r="A86" s="18">
        <v>85</v>
      </c>
      <c r="B86" s="19" t="s">
        <v>121</v>
      </c>
      <c r="C86" s="19" t="s">
        <v>39</v>
      </c>
      <c r="D86" s="90">
        <f>('PESQUISA DE DEMANDA'!$E$6+'PESQUISA DE DEMANDA'!$E$7+'PESQUISA DE DEMANDA'!$E$8+'PESQUISA DE DEMANDA'!$E$9+'PESQUISA DE DEMANDA'!$E$11)/5</f>
        <v>0</v>
      </c>
      <c r="E86" s="113"/>
      <c r="F86" s="113"/>
    </row>
    <row r="87" spans="1:6" ht="30.75" customHeight="1" thickBot="1" x14ac:dyDescent="0.35">
      <c r="A87" s="18">
        <v>86</v>
      </c>
      <c r="B87" s="19" t="s">
        <v>122</v>
      </c>
      <c r="C87" s="19" t="s">
        <v>39</v>
      </c>
      <c r="D87" s="90">
        <f>('PESQUISA DE DEMANDA'!$E$6+'PESQUISA DE DEMANDA'!$E$7+'PESQUISA DE DEMANDA'!$E$8+'PESQUISA DE DEMANDA'!$E$9+'PESQUISA DE DEMANDA'!$E$11)</f>
        <v>0</v>
      </c>
      <c r="E87" s="113"/>
      <c r="F87" s="113"/>
    </row>
    <row r="88" spans="1:6" ht="30.75" customHeight="1" thickBot="1" x14ac:dyDescent="0.35">
      <c r="A88" s="18">
        <v>87</v>
      </c>
      <c r="B88" s="19" t="s">
        <v>123</v>
      </c>
      <c r="C88" s="19" t="s">
        <v>39</v>
      </c>
      <c r="D88" s="90">
        <f>('PESQUISA DE DEMANDA'!$E$6+'PESQUISA DE DEMANDA'!$E$7+'PESQUISA DE DEMANDA'!$E$8+'PESQUISA DE DEMANDA'!$E$9+'PESQUISA DE DEMANDA'!$E$11+'PESQUISA DE DEMANDA'!$E$20)/5</f>
        <v>0</v>
      </c>
      <c r="E88" s="113"/>
      <c r="F88" s="113"/>
    </row>
    <row r="89" spans="1:6" ht="30.75" customHeight="1" thickBot="1" x14ac:dyDescent="0.35">
      <c r="A89" s="18">
        <v>88</v>
      </c>
      <c r="B89" s="19" t="s">
        <v>124</v>
      </c>
      <c r="C89" s="19" t="s">
        <v>39</v>
      </c>
      <c r="D89" s="90">
        <f>('PESQUISA DE DEMANDA'!$E$6+'PESQUISA DE DEMANDA'!$E$7+'PESQUISA DE DEMANDA'!$E$8+'PESQUISA DE DEMANDA'!$E$9+'PESQUISA DE DEMANDA'!$E$11)/5</f>
        <v>0</v>
      </c>
      <c r="E89" s="113"/>
      <c r="F89" s="113"/>
    </row>
    <row r="90" spans="1:6" ht="30.75" customHeight="1" thickBot="1" x14ac:dyDescent="0.35">
      <c r="A90" s="18">
        <v>89</v>
      </c>
      <c r="B90" s="19" t="s">
        <v>125</v>
      </c>
      <c r="C90" s="19" t="s">
        <v>39</v>
      </c>
      <c r="D90" s="90">
        <f>('PESQUISA DE DEMANDA'!$E$6+'PESQUISA DE DEMANDA'!$E$7+'PESQUISA DE DEMANDA'!$E$8+'PESQUISA DE DEMANDA'!$E$9+'PESQUISA DE DEMANDA'!$E$11)/5</f>
        <v>0</v>
      </c>
      <c r="E90" s="113"/>
      <c r="F90" s="113"/>
    </row>
    <row r="91" spans="1:6" ht="31.5" customHeight="1" thickBot="1" x14ac:dyDescent="0.35">
      <c r="A91" s="18">
        <v>90</v>
      </c>
      <c r="B91" s="19" t="s">
        <v>126</v>
      </c>
      <c r="C91" s="19" t="s">
        <v>39</v>
      </c>
      <c r="D91" s="90">
        <f>('PESQUISA DE DEMANDA'!$E$20)*5</f>
        <v>0</v>
      </c>
      <c r="E91" s="113"/>
      <c r="F91" s="113"/>
    </row>
    <row r="92" spans="1:6" ht="31.5" customHeight="1" thickBot="1" x14ac:dyDescent="0.35">
      <c r="A92" s="18">
        <v>91</v>
      </c>
      <c r="B92" s="19" t="s">
        <v>127</v>
      </c>
      <c r="C92" s="19" t="s">
        <v>39</v>
      </c>
      <c r="D92" s="90">
        <f>('PESQUISA DE DEMANDA'!$E$6+'PESQUISA DE DEMANDA'!$E$7+'PESQUISA DE DEMANDA'!$E$8+'PESQUISA DE DEMANDA'!$E$9+'PESQUISA DE DEMANDA'!$E$11+'PESQUISA DE DEMANDA'!$E$20)/5</f>
        <v>0</v>
      </c>
      <c r="E92" s="113"/>
      <c r="F92" s="113"/>
    </row>
    <row r="93" spans="1:6" ht="31.5" customHeight="1" thickBot="1" x14ac:dyDescent="0.35">
      <c r="A93" s="18">
        <v>92</v>
      </c>
      <c r="B93" s="19" t="s">
        <v>128</v>
      </c>
      <c r="C93" s="19" t="s">
        <v>39</v>
      </c>
      <c r="D93" s="90">
        <f>('PESQUISA DE DEMANDA'!$E$6+'PESQUISA DE DEMANDA'!$E$7+'PESQUISA DE DEMANDA'!$E$8+'PESQUISA DE DEMANDA'!$E$9+'PESQUISA DE DEMANDA'!$E$11+('PESQUISA DE DEMANDA'!$E$20))</f>
        <v>0</v>
      </c>
      <c r="E93" s="113"/>
      <c r="F93" s="113"/>
    </row>
    <row r="94" spans="1:6" ht="31.5" customHeight="1" thickBot="1" x14ac:dyDescent="0.35">
      <c r="A94" s="18">
        <v>93</v>
      </c>
      <c r="B94" s="19" t="s">
        <v>129</v>
      </c>
      <c r="C94" s="19" t="s">
        <v>39</v>
      </c>
      <c r="D94" s="90">
        <f>('PESQUISA DE DEMANDA'!$E$6+'PESQUISA DE DEMANDA'!$E$7+'PESQUISA DE DEMANDA'!$E$8+'PESQUISA DE DEMANDA'!$E$9+'PESQUISA DE DEMANDA'!$E$11+'PESQUISA DE DEMANDA'!$E$20)/5</f>
        <v>0</v>
      </c>
      <c r="E94" s="113"/>
      <c r="F94" s="113"/>
    </row>
    <row r="95" spans="1:6" ht="31.5" customHeight="1" thickBot="1" x14ac:dyDescent="0.35">
      <c r="A95" s="18">
        <v>94</v>
      </c>
      <c r="B95" s="19" t="s">
        <v>130</v>
      </c>
      <c r="C95" s="19" t="s">
        <v>39</v>
      </c>
      <c r="D95" s="90">
        <f>('PESQUISA DE DEMANDA'!$E$6+'PESQUISA DE DEMANDA'!$E$7+'PESQUISA DE DEMANDA'!$E$8+'PESQUISA DE DEMANDA'!$E$9+'PESQUISA DE DEMANDA'!$E$11+'PESQUISA DE DEMANDA'!$E$20)/5</f>
        <v>0</v>
      </c>
      <c r="E95" s="113"/>
      <c r="F95" s="113"/>
    </row>
    <row r="96" spans="1:6" ht="31.5" customHeight="1" thickBot="1" x14ac:dyDescent="0.35">
      <c r="A96" s="18">
        <v>95</v>
      </c>
      <c r="B96" s="19" t="s">
        <v>131</v>
      </c>
      <c r="C96" s="19" t="s">
        <v>39</v>
      </c>
      <c r="D96" s="90">
        <f>('PESQUISA DE DEMANDA'!$E$6+'PESQUISA DE DEMANDA'!$E$7+'PESQUISA DE DEMANDA'!$E$8+'PESQUISA DE DEMANDA'!$E$9+'PESQUISA DE DEMANDA'!$E$11+('PESQUISA DE DEMANDA'!$E$20))/5</f>
        <v>0</v>
      </c>
      <c r="E96" s="113"/>
      <c r="F96" s="113"/>
    </row>
    <row r="97" spans="1:7" ht="31.5" customHeight="1" thickBot="1" x14ac:dyDescent="0.35">
      <c r="A97" s="18">
        <v>96</v>
      </c>
      <c r="B97" s="19" t="s">
        <v>132</v>
      </c>
      <c r="C97" s="19" t="s">
        <v>39</v>
      </c>
      <c r="D97" s="90">
        <f>$D$3*5</f>
        <v>0</v>
      </c>
      <c r="E97" s="113"/>
      <c r="F97" s="113"/>
    </row>
    <row r="98" spans="1:7" ht="30.75" customHeight="1" thickBot="1" x14ac:dyDescent="0.35">
      <c r="A98" s="18">
        <v>97</v>
      </c>
      <c r="B98" s="19" t="s">
        <v>133</v>
      </c>
      <c r="C98" s="19" t="s">
        <v>36</v>
      </c>
      <c r="D98" s="90">
        <f>SUM($D$99:$D$103)*2</f>
        <v>0</v>
      </c>
      <c r="E98" s="113"/>
      <c r="F98" s="113"/>
    </row>
    <row r="99" spans="1:7" ht="30.75" customHeight="1" thickBot="1" x14ac:dyDescent="0.35">
      <c r="A99" s="18">
        <v>98</v>
      </c>
      <c r="B99" s="19" t="s">
        <v>134</v>
      </c>
      <c r="C99" s="19" t="s">
        <v>36</v>
      </c>
      <c r="D99" s="90">
        <f>(('PESQUISA DE DEMANDA'!$E$6*2)+'PESQUISA DE DEMANDA'!$E$8)/20</f>
        <v>0</v>
      </c>
      <c r="E99" s="113"/>
      <c r="F99" s="113"/>
    </row>
    <row r="100" spans="1:7" ht="30.75" customHeight="1" thickBot="1" x14ac:dyDescent="0.35">
      <c r="A100" s="18">
        <v>99</v>
      </c>
      <c r="B100" s="19" t="s">
        <v>135</v>
      </c>
      <c r="C100" s="19" t="s">
        <v>36</v>
      </c>
      <c r="D100" s="90">
        <f>(('PESQUISA DE DEMANDA'!$E$7*2)+'PESQUISA DE DEMANDA'!$E$9)/20</f>
        <v>0</v>
      </c>
      <c r="E100" s="113"/>
      <c r="F100" s="113"/>
    </row>
    <row r="101" spans="1:7" ht="30.75" customHeight="1" thickBot="1" x14ac:dyDescent="0.35">
      <c r="A101" s="18">
        <v>100</v>
      </c>
      <c r="B101" s="19" t="s">
        <v>136</v>
      </c>
      <c r="C101" s="19" t="s">
        <v>36</v>
      </c>
      <c r="D101" s="90">
        <f>('PESQUISA DE DEMANDA'!$E$10)/20</f>
        <v>0</v>
      </c>
      <c r="E101" s="113"/>
      <c r="F101" s="113"/>
    </row>
    <row r="102" spans="1:7" ht="30.75" customHeight="1" thickBot="1" x14ac:dyDescent="0.35">
      <c r="A102" s="18">
        <v>101</v>
      </c>
      <c r="B102" s="19" t="s">
        <v>137</v>
      </c>
      <c r="C102" s="19" t="s">
        <v>36</v>
      </c>
      <c r="D102" s="90">
        <f>(('PESQUISA DE DEMANDA'!$E$7*2)+'PESQUISA DE DEMANDA'!$E$9)/20</f>
        <v>0</v>
      </c>
      <c r="E102" s="113"/>
      <c r="F102" s="113"/>
    </row>
    <row r="103" spans="1:7" ht="30.75" customHeight="1" thickBot="1" x14ac:dyDescent="0.35">
      <c r="A103" s="18">
        <v>102</v>
      </c>
      <c r="B103" s="19" t="s">
        <v>138</v>
      </c>
      <c r="C103" s="19" t="s">
        <v>36</v>
      </c>
      <c r="D103" s="90">
        <f>'PESQUISA DE DEMANDA'!E10/20</f>
        <v>0</v>
      </c>
      <c r="E103" s="113"/>
      <c r="F103" s="113"/>
    </row>
    <row r="104" spans="1:7" ht="30.75" customHeight="1" thickBot="1" x14ac:dyDescent="0.35">
      <c r="A104" s="18">
        <v>103</v>
      </c>
      <c r="B104" s="19" t="s">
        <v>139</v>
      </c>
      <c r="C104" s="19" t="s">
        <v>36</v>
      </c>
      <c r="D104" s="90">
        <f>('PESQUISA DE DEMANDA'!$E$17)/50</f>
        <v>0</v>
      </c>
      <c r="E104" s="113"/>
      <c r="F104" s="113"/>
    </row>
    <row r="105" spans="1:7" ht="30.75" customHeight="1" thickBot="1" x14ac:dyDescent="0.35">
      <c r="A105" s="18">
        <v>104</v>
      </c>
      <c r="B105" s="19" t="s">
        <v>140</v>
      </c>
      <c r="C105" s="19" t="s">
        <v>36</v>
      </c>
      <c r="D105" s="90">
        <f>('PESQUISA DE DEMANDA'!$E$6+'PESQUISA DE DEMANDA'!$E$7+'PESQUISA DE DEMANDA'!$E$8+'PESQUISA DE DEMANDA'!$E$9)/10</f>
        <v>0</v>
      </c>
      <c r="E105" s="113"/>
      <c r="F105" s="113"/>
    </row>
    <row r="106" spans="1:7" ht="30.75" customHeight="1" thickBot="1" x14ac:dyDescent="0.35">
      <c r="A106" s="18">
        <v>105</v>
      </c>
      <c r="B106" s="19" t="s">
        <v>141</v>
      </c>
      <c r="C106" s="19" t="s">
        <v>36</v>
      </c>
      <c r="D106" s="90">
        <f>('PESQUISA DE DEMANDA'!$E$6+'PESQUISA DE DEMANDA'!$E$7+'PESQUISA DE DEMANDA'!$E$8+'PESQUISA DE DEMANDA'!$E$9)/10</f>
        <v>0</v>
      </c>
      <c r="E106" s="113"/>
      <c r="F106" s="113"/>
    </row>
    <row r="107" spans="1:7" ht="30.75" customHeight="1" thickBot="1" x14ac:dyDescent="0.35">
      <c r="A107" s="18">
        <v>106</v>
      </c>
      <c r="B107" s="19" t="s">
        <v>142</v>
      </c>
      <c r="C107" s="19" t="s">
        <v>36</v>
      </c>
      <c r="D107" s="90">
        <f>D111+D110</f>
        <v>0</v>
      </c>
      <c r="E107" s="113"/>
      <c r="F107" s="113"/>
    </row>
    <row r="108" spans="1:7" ht="37.5" customHeight="1" thickBot="1" x14ac:dyDescent="0.35">
      <c r="A108" s="18">
        <v>107</v>
      </c>
      <c r="B108" s="19" t="s">
        <v>143</v>
      </c>
      <c r="C108" s="19" t="s">
        <v>36</v>
      </c>
      <c r="D108" s="90">
        <f>(((('PESQUISA DE DEMANDA'!$E$6*2)+('PESQUISA DE DEMANDA'!$E$7*2)+('PESQUISA DE DEMANDA'!$E$14)+('PESQUISA DE DEMANDA'!$E$15)+('PESQUISA DE DEMANDA'!$E$20*9))/8)/6)</f>
        <v>0</v>
      </c>
      <c r="E108" s="113"/>
      <c r="F108" s="113"/>
      <c r="G108">
        <f>D108*6</f>
        <v>0</v>
      </c>
    </row>
    <row r="109" spans="1:7" ht="30.75" customHeight="1" thickBot="1" x14ac:dyDescent="0.35">
      <c r="A109" s="18">
        <v>108</v>
      </c>
      <c r="B109" s="19" t="s">
        <v>144</v>
      </c>
      <c r="C109" s="19" t="s">
        <v>36</v>
      </c>
      <c r="D109" s="90">
        <f>(((('PESQUISA DE DEMANDA'!$E$6*2)+('PESQUISA DE DEMANDA'!$E$7*2)+('PESQUISA DE DEMANDA'!$E$14)+('PESQUISA DE DEMANDA'!$E$15)+('PESQUISA DE DEMANDA'!$E$20*9))/8)/8)</f>
        <v>0</v>
      </c>
      <c r="E109" s="113"/>
      <c r="F109" s="113"/>
      <c r="G109">
        <f>D109*8</f>
        <v>0</v>
      </c>
    </row>
    <row r="110" spans="1:7" ht="30.75" customHeight="1" thickBot="1" x14ac:dyDescent="0.35">
      <c r="A110" s="18">
        <v>109</v>
      </c>
      <c r="B110" s="19" t="s">
        <v>145</v>
      </c>
      <c r="C110" s="19" t="s">
        <v>36</v>
      </c>
      <c r="D110" s="90">
        <f>(((('PESQUISA DE DEMANDA'!$E$6*2)+('PESQUISA DE DEMANDA'!$E$7*2)+('PESQUISA DE DEMANDA'!$E$14)+('PESQUISA DE DEMANDA'!$E$15)+('PESQUISA DE DEMANDA'!$E$20*9))/8)/16)</f>
        <v>0</v>
      </c>
      <c r="E110" s="113"/>
      <c r="F110" s="113"/>
      <c r="G110">
        <f>D110*16</f>
        <v>0</v>
      </c>
    </row>
    <row r="111" spans="1:7" ht="30.75" customHeight="1" thickBot="1" x14ac:dyDescent="0.35">
      <c r="A111" s="18">
        <v>110</v>
      </c>
      <c r="B111" s="19" t="s">
        <v>146</v>
      </c>
      <c r="C111" s="19" t="s">
        <v>36</v>
      </c>
      <c r="D111" s="90">
        <f>(((('PESQUISA DE DEMANDA'!$E$6*2)+('PESQUISA DE DEMANDA'!$E$7*2)+('PESQUISA DE DEMANDA'!$E$14)+('PESQUISA DE DEMANDA'!$E$15)+('PESQUISA DE DEMANDA'!$E$20*9))/8)/36)</f>
        <v>0</v>
      </c>
      <c r="E111" s="113"/>
      <c r="F111" s="113"/>
      <c r="G111">
        <f>D111*36</f>
        <v>0</v>
      </c>
    </row>
    <row r="112" spans="1:7" ht="68.25" customHeight="1" thickBot="1" x14ac:dyDescent="0.35">
      <c r="A112" s="18">
        <v>111</v>
      </c>
      <c r="B112" s="19" t="s">
        <v>147</v>
      </c>
      <c r="C112" s="19" t="s">
        <v>36</v>
      </c>
      <c r="D112" s="90">
        <f xml:space="preserve"> (((('PESQUISA DE DEMANDA'!$E$6*2)+('PESQUISA DE DEMANDA'!$E$7*2)+('PESQUISA DE DEMANDA'!$E$14)+('PESQUISA DE DEMANDA'!$E$15)+('PESQUISA DE DEMANDA'!$E$20*9))/8)/8)</f>
        <v>0</v>
      </c>
      <c r="E112" s="113"/>
      <c r="F112" s="113"/>
      <c r="G112">
        <f>D112*8</f>
        <v>0</v>
      </c>
    </row>
    <row r="113" spans="1:6" ht="30.75" customHeight="1" thickBot="1" x14ac:dyDescent="0.35">
      <c r="A113" s="18">
        <v>112</v>
      </c>
      <c r="B113" s="19" t="s">
        <v>148</v>
      </c>
      <c r="C113" s="19" t="s">
        <v>36</v>
      </c>
      <c r="D113" s="90">
        <f>(('PESQUISA DE DEMANDA'!$E$6*2)+('PESQUISA DE DEMANDA'!$E$7*2)+'PESQUISA DE DEMANDA'!$E$8+'PESQUISA DE DEMANDA'!$E$9+'PESQUISA DE DEMANDA'!$E$10)/96</f>
        <v>0</v>
      </c>
      <c r="E113" s="113"/>
      <c r="F113" s="113"/>
    </row>
    <row r="114" spans="1:6" ht="30.75" customHeight="1" thickBot="1" x14ac:dyDescent="0.35">
      <c r="A114" s="18">
        <v>113</v>
      </c>
      <c r="B114" s="19" t="s">
        <v>149</v>
      </c>
      <c r="C114" s="19" t="s">
        <v>36</v>
      </c>
      <c r="D114" s="90">
        <f>(('PESQUISA DE DEMANDA'!$E$6*2)+('PESQUISA DE DEMANDA'!$E$7*2)+'PESQUISA DE DEMANDA'!$E$8+'PESQUISA DE DEMANDA'!$E$9+'PESQUISA DE DEMANDA'!$E$10)/96</f>
        <v>0</v>
      </c>
      <c r="E114" s="113"/>
      <c r="F114" s="113"/>
    </row>
    <row r="115" spans="1:6" ht="30.75" customHeight="1" thickBot="1" x14ac:dyDescent="0.35">
      <c r="A115" s="18">
        <v>114</v>
      </c>
      <c r="B115" s="19" t="s">
        <v>150</v>
      </c>
      <c r="C115" s="19" t="s">
        <v>36</v>
      </c>
      <c r="D115" s="90">
        <f>(('PESQUISA DE DEMANDA'!$E$6*2)+('PESQUISA DE DEMANDA'!$E$7*2)+'PESQUISA DE DEMANDA'!$E$8+'PESQUISA DE DEMANDA'!$E$9+'PESQUISA DE DEMANDA'!$E$10)/96</f>
        <v>0</v>
      </c>
      <c r="E115" s="113"/>
      <c r="F115" s="113"/>
    </row>
    <row r="116" spans="1:6" ht="30.75" customHeight="1" thickBot="1" x14ac:dyDescent="0.35">
      <c r="A116" s="18">
        <v>115</v>
      </c>
      <c r="B116" s="19" t="s">
        <v>151</v>
      </c>
      <c r="C116" s="19" t="s">
        <v>36</v>
      </c>
      <c r="D116" s="90">
        <f>(('PESQUISA DE DEMANDA'!$E$6*2)+('PESQUISA DE DEMANDA'!$E$7*2)+'PESQUISA DE DEMANDA'!$E$8+'PESQUISA DE DEMANDA'!$E$9+'PESQUISA DE DEMANDA'!$E$10)/96</f>
        <v>0</v>
      </c>
      <c r="E116" s="113"/>
      <c r="F116" s="113"/>
    </row>
    <row r="117" spans="1:6" ht="30.75" customHeight="1" thickBot="1" x14ac:dyDescent="0.35">
      <c r="A117" s="18">
        <v>116</v>
      </c>
      <c r="B117" s="19" t="s">
        <v>152</v>
      </c>
      <c r="C117" s="19" t="s">
        <v>36</v>
      </c>
      <c r="D117" s="90">
        <f>(('PESQUISA DE DEMANDA'!$E$6*2)+('PESQUISA DE DEMANDA'!$E$7*2)+'PESQUISA DE DEMANDA'!$E$8+'PESQUISA DE DEMANDA'!$E$9+'PESQUISA DE DEMANDA'!$E$10)/96</f>
        <v>0</v>
      </c>
      <c r="E117" s="113"/>
      <c r="F117" s="113"/>
    </row>
    <row r="118" spans="1:6" ht="30.75" customHeight="1" thickBot="1" x14ac:dyDescent="0.35">
      <c r="A118" s="18">
        <v>117</v>
      </c>
      <c r="B118" s="19" t="s">
        <v>153</v>
      </c>
      <c r="C118" s="19" t="s">
        <v>36</v>
      </c>
      <c r="D118" s="90">
        <f>(('PESQUISA DE DEMANDA'!$E$6*2)+('PESQUISA DE DEMANDA'!$E$7*2)+'PESQUISA DE DEMANDA'!$E$8+'PESQUISA DE DEMANDA'!$E$9+'PESQUISA DE DEMANDA'!$E$10)/96</f>
        <v>0</v>
      </c>
      <c r="E118" s="113"/>
      <c r="F118" s="113"/>
    </row>
    <row r="119" spans="1:6" ht="30.75" customHeight="1" thickBot="1" x14ac:dyDescent="0.35">
      <c r="A119" s="18">
        <v>118</v>
      </c>
      <c r="B119" s="19" t="s">
        <v>154</v>
      </c>
      <c r="C119" s="19" t="s">
        <v>36</v>
      </c>
      <c r="D119" s="90">
        <f>(('PESQUISA DE DEMANDA'!$E$6*2)+('PESQUISA DE DEMANDA'!$E$7*2)+'PESQUISA DE DEMANDA'!$E$8+'PESQUISA DE DEMANDA'!$E$9+'PESQUISA DE DEMANDA'!$E$10)/96</f>
        <v>0</v>
      </c>
      <c r="E119" s="113"/>
      <c r="F119" s="113"/>
    </row>
    <row r="120" spans="1:6" ht="30.75" customHeight="1" thickBot="1" x14ac:dyDescent="0.35">
      <c r="A120" s="18">
        <v>119</v>
      </c>
      <c r="B120" s="19" t="s">
        <v>155</v>
      </c>
      <c r="C120" s="19" t="s">
        <v>36</v>
      </c>
      <c r="D120" s="90">
        <f>(('PESQUISA DE DEMANDA'!$E$6*2)+('PESQUISA DE DEMANDA'!$E$7*2)+'PESQUISA DE DEMANDA'!$E$8+'PESQUISA DE DEMANDA'!$E$9+'PESQUISA DE DEMANDA'!$E$10)/96</f>
        <v>0</v>
      </c>
      <c r="E120" s="113"/>
      <c r="F120" s="113"/>
    </row>
    <row r="121" spans="1:6" ht="30.75" customHeight="1" thickBot="1" x14ac:dyDescent="0.35">
      <c r="A121" s="18">
        <v>120</v>
      </c>
      <c r="B121" s="19" t="s">
        <v>156</v>
      </c>
      <c r="C121" s="19" t="s">
        <v>39</v>
      </c>
      <c r="D121" s="91">
        <f>('PESQUISA DE DEMANDA'!$E$14+'PESQUISA DE DEMANDA'!$E$15+('PESQUISA DE DEMANDA'!$E$20))/5</f>
        <v>0</v>
      </c>
      <c r="E121" s="113"/>
      <c r="F121" s="113"/>
    </row>
    <row r="122" spans="1:6" ht="30.75" customHeight="1" thickBot="1" x14ac:dyDescent="0.35">
      <c r="A122" s="18">
        <v>121</v>
      </c>
      <c r="B122" s="19" t="s">
        <v>157</v>
      </c>
      <c r="C122" s="19" t="s">
        <v>39</v>
      </c>
      <c r="D122" s="91">
        <f>($D$129+$D$130)*0.1</f>
        <v>0</v>
      </c>
      <c r="E122" s="113"/>
      <c r="F122" s="113"/>
    </row>
    <row r="123" spans="1:6" ht="30.75" customHeight="1" thickBot="1" x14ac:dyDescent="0.35">
      <c r="A123" s="18">
        <v>122</v>
      </c>
      <c r="B123" s="19" t="s">
        <v>158</v>
      </c>
      <c r="C123" s="19" t="s">
        <v>39</v>
      </c>
      <c r="D123" s="91">
        <f t="shared" ref="D123" si="2">($D$129+$D$130)*0.2</f>
        <v>0</v>
      </c>
      <c r="E123" s="113"/>
      <c r="F123" s="113"/>
    </row>
    <row r="124" spans="1:6" ht="30.75" customHeight="1" thickBot="1" x14ac:dyDescent="0.35">
      <c r="A124" s="18">
        <v>123</v>
      </c>
      <c r="B124" s="19" t="s">
        <v>159</v>
      </c>
      <c r="C124" s="19" t="s">
        <v>39</v>
      </c>
      <c r="D124" s="91">
        <f>($D$129+$D$130)*0.1</f>
        <v>0</v>
      </c>
      <c r="E124" s="113"/>
      <c r="F124" s="113"/>
    </row>
    <row r="125" spans="1:6" ht="30.75" customHeight="1" thickBot="1" x14ac:dyDescent="0.35">
      <c r="A125" s="18">
        <v>124</v>
      </c>
      <c r="B125" s="19" t="s">
        <v>160</v>
      </c>
      <c r="C125" s="19" t="s">
        <v>36</v>
      </c>
      <c r="D125" s="90">
        <f>$D$3/5</f>
        <v>0</v>
      </c>
      <c r="E125" s="113"/>
      <c r="F125" s="113"/>
    </row>
    <row r="126" spans="1:6" ht="30.75" customHeight="1" thickBot="1" x14ac:dyDescent="0.35">
      <c r="A126" s="18">
        <v>125</v>
      </c>
      <c r="B126" s="19" t="s">
        <v>161</v>
      </c>
      <c r="C126" s="19" t="s">
        <v>36</v>
      </c>
      <c r="D126" s="90">
        <f>(SUM('PESQUISA DE DEMANDA'!E6:E11))*0.1</f>
        <v>0</v>
      </c>
      <c r="E126" s="113"/>
      <c r="F126" s="113"/>
    </row>
    <row r="127" spans="1:6" ht="30.75" customHeight="1" thickBot="1" x14ac:dyDescent="0.35">
      <c r="A127" s="18">
        <v>126</v>
      </c>
      <c r="B127" s="19" t="s">
        <v>162</v>
      </c>
      <c r="C127" s="19" t="s">
        <v>39</v>
      </c>
      <c r="D127" s="91">
        <f t="shared" ref="D127:D128" si="3">($D$129+$D$130)*0.1</f>
        <v>0</v>
      </c>
      <c r="E127" s="113"/>
      <c r="F127" s="113"/>
    </row>
    <row r="128" spans="1:6" ht="30.75" customHeight="1" thickBot="1" x14ac:dyDescent="0.35">
      <c r="A128" s="18">
        <v>127</v>
      </c>
      <c r="B128" s="19" t="s">
        <v>163</v>
      </c>
      <c r="C128" s="19" t="s">
        <v>39</v>
      </c>
      <c r="D128" s="91">
        <f t="shared" si="3"/>
        <v>0</v>
      </c>
      <c r="E128" s="113"/>
      <c r="F128" s="113"/>
    </row>
    <row r="129" spans="1:7" ht="30.75" customHeight="1" thickBot="1" x14ac:dyDescent="0.35">
      <c r="A129" s="18">
        <v>128</v>
      </c>
      <c r="B129" s="19" t="s">
        <v>164</v>
      </c>
      <c r="C129" s="19" t="s">
        <v>39</v>
      </c>
      <c r="D129" s="90">
        <f>(   ((('PESQUISA DE DEMANDA'!$E$6*2)/8)*10) + ( (('PESQUISA DE DEMANDA'!$E$7*2)/8)*10)  +    ((('PESQUISA DE DEMANDA'!$E$8)/8)*10) +    ((('PESQUISA DE DEMANDA'!$E$9)/8)*10)+ ((('PESQUISA DE DEMANDA'!$E$14)/8)*10)+    ((('PESQUISA DE DEMANDA'!$E$15)/8)*10)  +  ('PESQUISA DE DEMANDA'!$E$20*6))</f>
        <v>0</v>
      </c>
      <c r="E129" s="114"/>
      <c r="F129" s="114"/>
      <c r="G129">
        <f>(('PESQUISA DE DEMANDA'!$E$9/8)*10)</f>
        <v>0</v>
      </c>
    </row>
    <row r="130" spans="1:7" ht="30.75" customHeight="1" thickBot="1" x14ac:dyDescent="0.35">
      <c r="A130" s="18">
        <v>129</v>
      </c>
      <c r="B130" s="19" t="s">
        <v>165</v>
      </c>
      <c r="C130" s="19" t="s">
        <v>39</v>
      </c>
      <c r="D130" s="90">
        <f>(   ((('PESQUISA DE DEMANDA'!$E$6*2)/8)*10) + ( (('PESQUISA DE DEMANDA'!$E$7*2)/8)*10)  +    ((('PESQUISA DE DEMANDA'!$E$8)/8)*10) +    ((('PESQUISA DE DEMANDA'!$E$9)/8)*10)+ ((('PESQUISA DE DEMANDA'!$E$14)/8)*10)+    ((('PESQUISA DE DEMANDA'!$E$15)/8)*10)  +  ('PESQUISA DE DEMANDA'!$E$20*6))</f>
        <v>0</v>
      </c>
      <c r="E130" s="114"/>
      <c r="F130" s="114"/>
    </row>
    <row r="131" spans="1:7" ht="30.75" customHeight="1" thickBot="1" x14ac:dyDescent="0.35">
      <c r="A131" s="18">
        <v>130</v>
      </c>
      <c r="B131" s="19" t="s">
        <v>166</v>
      </c>
      <c r="C131" s="19" t="s">
        <v>36</v>
      </c>
      <c r="D131" s="90">
        <f>($D$3)/5</f>
        <v>0</v>
      </c>
      <c r="E131" s="113"/>
      <c r="F131" s="113"/>
    </row>
    <row r="132" spans="1:7" ht="30.75" customHeight="1" thickBot="1" x14ac:dyDescent="0.35">
      <c r="A132" s="18">
        <v>131</v>
      </c>
      <c r="B132" s="19" t="s">
        <v>167</v>
      </c>
      <c r="C132" s="19" t="s">
        <v>36</v>
      </c>
      <c r="D132" s="90">
        <f>SUM(D109:D110)*3</f>
        <v>0</v>
      </c>
      <c r="E132" s="113"/>
      <c r="F132" s="113"/>
    </row>
    <row r="133" spans="1:7" ht="30.75" customHeight="1" thickBot="1" x14ac:dyDescent="0.35">
      <c r="A133" s="18">
        <v>132</v>
      </c>
      <c r="B133" s="19" t="s">
        <v>168</v>
      </c>
      <c r="C133" s="19" t="s">
        <v>36</v>
      </c>
      <c r="D133" s="90">
        <f>SUM(D109:D112)*4</f>
        <v>0</v>
      </c>
      <c r="E133" s="113"/>
      <c r="F133" s="113"/>
    </row>
    <row r="134" spans="1:7" ht="30.75" customHeight="1" thickBot="1" x14ac:dyDescent="0.35">
      <c r="A134" s="18">
        <v>133</v>
      </c>
      <c r="B134" s="19" t="s">
        <v>169</v>
      </c>
      <c r="C134" s="19" t="s">
        <v>36</v>
      </c>
      <c r="D134" s="90">
        <f>D132</f>
        <v>0</v>
      </c>
      <c r="E134" s="113"/>
      <c r="F134" s="113"/>
    </row>
    <row r="135" spans="1:7" ht="30.75" customHeight="1" thickBot="1" x14ac:dyDescent="0.35">
      <c r="A135" s="18">
        <v>134</v>
      </c>
      <c r="B135" s="19" t="s">
        <v>170</v>
      </c>
      <c r="C135" s="19" t="s">
        <v>39</v>
      </c>
      <c r="D135" s="90">
        <f>('PESQUISA DE DEMANDA'!$E$6+'PESQUISA DE DEMANDA'!$E$7+'PESQUISA DE DEMANDA'!$E$8+'PESQUISA DE DEMANDA'!$E$9+'PESQUISA DE DEMANDA'!$E$10+'PESQUISA DE DEMANDA'!$E$14+'PESQUISA DE DEMANDA'!$E$15)/5</f>
        <v>0</v>
      </c>
      <c r="E135" s="113"/>
      <c r="F135" s="113"/>
    </row>
    <row r="136" spans="1:7" ht="30.75" customHeight="1" thickBot="1" x14ac:dyDescent="0.35">
      <c r="A136" s="18">
        <v>135</v>
      </c>
      <c r="B136" s="19" t="s">
        <v>171</v>
      </c>
      <c r="C136" s="19" t="s">
        <v>39</v>
      </c>
      <c r="D136" s="90">
        <f>('PESQUISA DE DEMANDA'!$E$6+'PESQUISA DE DEMANDA'!$E$7+'PESQUISA DE DEMANDA'!$E$8+'PESQUISA DE DEMANDA'!$E$9+'PESQUISA DE DEMANDA'!$E$10+'PESQUISA DE DEMANDA'!$E$14+'PESQUISA DE DEMANDA'!$E$15)/5</f>
        <v>0</v>
      </c>
      <c r="E136" s="113"/>
      <c r="F136" s="113"/>
    </row>
    <row r="137" spans="1:7" ht="30.75" customHeight="1" thickBot="1" x14ac:dyDescent="0.35">
      <c r="A137" s="18">
        <v>136</v>
      </c>
      <c r="B137" s="19" t="s">
        <v>172</v>
      </c>
      <c r="C137" s="19" t="s">
        <v>36</v>
      </c>
      <c r="D137" s="90">
        <f>((('PESQUISA DE DEMANDA'!$E$6*2)+('PESQUISA DE DEMANDA'!$E$7*2)+'PESQUISA DE DEMANDA'!$E$8+'PESQUISA DE DEMANDA'!$E$9+'PESQUISA DE DEMANDA'!$E$10)/24)</f>
        <v>0</v>
      </c>
      <c r="E137" s="113"/>
      <c r="F137" s="113"/>
    </row>
    <row r="138" spans="1:7" ht="30.75" customHeight="1" thickBot="1" x14ac:dyDescent="0.35">
      <c r="A138" s="18">
        <v>137</v>
      </c>
      <c r="B138" s="19" t="s">
        <v>173</v>
      </c>
      <c r="C138" s="19" t="s">
        <v>36</v>
      </c>
      <c r="D138" s="90">
        <f>(SUM($D$118:$D$120))</f>
        <v>0</v>
      </c>
      <c r="E138" s="113"/>
      <c r="F138" s="113"/>
    </row>
    <row r="139" spans="1:7" ht="30.75" customHeight="1" thickBot="1" x14ac:dyDescent="0.35">
      <c r="A139" s="18">
        <v>138</v>
      </c>
      <c r="B139" s="19" t="s">
        <v>174</v>
      </c>
      <c r="C139" s="19" t="s">
        <v>36</v>
      </c>
      <c r="D139" s="90">
        <f>(SUM($D$118:$D$120))</f>
        <v>0</v>
      </c>
      <c r="E139" s="113"/>
      <c r="F139" s="113"/>
    </row>
    <row r="140" spans="1:7" ht="30.75" customHeight="1" thickBot="1" x14ac:dyDescent="0.35">
      <c r="A140" s="18">
        <v>139</v>
      </c>
      <c r="B140" s="21" t="s">
        <v>175</v>
      </c>
      <c r="C140" s="19" t="s">
        <v>39</v>
      </c>
      <c r="D140" s="90">
        <f>('PESQUISA DE DEMANDA'!$E$20/12)*50</f>
        <v>0</v>
      </c>
      <c r="E140" s="113"/>
      <c r="F140" s="113"/>
    </row>
    <row r="141" spans="1:7" ht="30.75" customHeight="1" thickBot="1" x14ac:dyDescent="0.35">
      <c r="A141" s="18">
        <v>140</v>
      </c>
      <c r="B141" s="21" t="s">
        <v>176</v>
      </c>
      <c r="C141" s="19" t="s">
        <v>39</v>
      </c>
      <c r="D141" s="90">
        <f>('PESQUISA DE DEMANDA'!$E$20/12)*50</f>
        <v>0</v>
      </c>
      <c r="E141" s="113"/>
      <c r="F141" s="113"/>
    </row>
    <row r="142" spans="1:7" ht="30.75" customHeight="1" thickBot="1" x14ac:dyDescent="0.35">
      <c r="A142" s="18">
        <v>141</v>
      </c>
      <c r="B142" s="21" t="s">
        <v>177</v>
      </c>
      <c r="C142" s="19" t="s">
        <v>39</v>
      </c>
      <c r="D142" s="90">
        <f>('PESQUISA DE DEMANDA'!$E$20/12)*50</f>
        <v>0</v>
      </c>
      <c r="E142" s="113"/>
      <c r="F142" s="113"/>
    </row>
    <row r="143" spans="1:7" ht="30.75" customHeight="1" thickBot="1" x14ac:dyDescent="0.35">
      <c r="A143" s="18">
        <v>142</v>
      </c>
      <c r="B143" s="21" t="s">
        <v>178</v>
      </c>
      <c r="C143" s="19" t="s">
        <v>39</v>
      </c>
      <c r="D143" s="90">
        <f>('PESQUISA DE DEMANDA'!$E$20/12)*50</f>
        <v>0</v>
      </c>
      <c r="E143" s="113"/>
      <c r="F143" s="113"/>
    </row>
    <row r="144" spans="1:7" ht="30.75" customHeight="1" thickBot="1" x14ac:dyDescent="0.35">
      <c r="A144" s="18">
        <v>143</v>
      </c>
      <c r="B144" s="19" t="s">
        <v>179</v>
      </c>
      <c r="C144" s="19" t="s">
        <v>39</v>
      </c>
      <c r="D144" s="90">
        <f>('PESQUISA DE DEMANDA'!$E$20)*60</f>
        <v>0</v>
      </c>
      <c r="E144" s="113"/>
      <c r="F144" s="113"/>
    </row>
    <row r="145" spans="1:6" ht="30.75" customHeight="1" thickBot="1" x14ac:dyDescent="0.35">
      <c r="A145" s="18">
        <v>144</v>
      </c>
      <c r="B145" s="19" t="s">
        <v>180</v>
      </c>
      <c r="C145" s="19" t="s">
        <v>36</v>
      </c>
      <c r="D145" s="90">
        <f>'PESQUISA DE DEMANDA'!$E$20/12</f>
        <v>0</v>
      </c>
      <c r="E145" s="113"/>
      <c r="F145" s="113"/>
    </row>
    <row r="146" spans="1:6" ht="30.75" customHeight="1" thickBot="1" x14ac:dyDescent="0.35">
      <c r="A146" s="18">
        <v>145</v>
      </c>
      <c r="B146" s="19" t="s">
        <v>181</v>
      </c>
      <c r="C146" s="19" t="s">
        <v>36</v>
      </c>
      <c r="D146" s="90">
        <f>'PESQUISA DE DEMANDA'!$E$20/12</f>
        <v>0</v>
      </c>
      <c r="E146" s="113"/>
      <c r="F146" s="113"/>
    </row>
    <row r="147" spans="1:6" ht="30.75" customHeight="1" thickBot="1" x14ac:dyDescent="0.35">
      <c r="A147" s="18">
        <v>146</v>
      </c>
      <c r="B147" s="19" t="s">
        <v>182</v>
      </c>
      <c r="C147" s="19" t="s">
        <v>36</v>
      </c>
      <c r="D147" s="90">
        <f>'PESQUISA DE DEMANDA'!$E$20/12</f>
        <v>0</v>
      </c>
      <c r="E147" s="113"/>
      <c r="F147" s="113"/>
    </row>
    <row r="148" spans="1:6" ht="30.75" customHeight="1" thickBot="1" x14ac:dyDescent="0.35">
      <c r="A148" s="18">
        <v>147</v>
      </c>
      <c r="B148" s="21" t="s">
        <v>183</v>
      </c>
      <c r="C148" s="19" t="s">
        <v>36</v>
      </c>
      <c r="D148" s="90">
        <f>'PESQUISA DE DEMANDA'!$E$20/12</f>
        <v>0</v>
      </c>
      <c r="E148" s="113"/>
      <c r="F148" s="113"/>
    </row>
    <row r="149" spans="1:6" ht="30.75" customHeight="1" thickBot="1" x14ac:dyDescent="0.35">
      <c r="A149" s="18">
        <v>148</v>
      </c>
      <c r="B149" s="21" t="s">
        <v>184</v>
      </c>
      <c r="C149" s="19" t="s">
        <v>36</v>
      </c>
      <c r="D149" s="90">
        <f>'PESQUISA DE DEMANDA'!$E$20/12</f>
        <v>0</v>
      </c>
      <c r="E149" s="113"/>
      <c r="F149" s="113"/>
    </row>
    <row r="150" spans="1:6" ht="30.75" customHeight="1" thickBot="1" x14ac:dyDescent="0.35">
      <c r="A150" s="18">
        <v>149</v>
      </c>
      <c r="B150" s="19" t="s">
        <v>185</v>
      </c>
      <c r="C150" s="19" t="s">
        <v>36</v>
      </c>
      <c r="D150" s="90">
        <f>'PESQUISA DE DEMANDA'!$E$20/12</f>
        <v>0</v>
      </c>
      <c r="E150" s="113"/>
      <c r="F150" s="113"/>
    </row>
    <row r="151" spans="1:6" ht="30.75" customHeight="1" thickBot="1" x14ac:dyDescent="0.35">
      <c r="A151" s="18">
        <v>150</v>
      </c>
      <c r="B151" s="19" t="s">
        <v>186</v>
      </c>
      <c r="C151" s="19" t="s">
        <v>36</v>
      </c>
      <c r="D151" s="90">
        <f>('PESQUISA DE DEMANDA'!$E$16/10)+(('PESQUISA DE DEMANDA'!$E$20)/16)</f>
        <v>0</v>
      </c>
      <c r="E151" s="113"/>
      <c r="F151" s="113"/>
    </row>
    <row r="152" spans="1:6" ht="30.75" customHeight="1" thickBot="1" x14ac:dyDescent="0.35">
      <c r="A152" s="18">
        <v>151</v>
      </c>
      <c r="B152" s="21" t="s">
        <v>187</v>
      </c>
      <c r="C152" s="19" t="s">
        <v>36</v>
      </c>
      <c r="D152" s="90">
        <f>'PESQUISA DE DEMANDA'!$E$20</f>
        <v>0</v>
      </c>
      <c r="E152" s="113"/>
      <c r="F152" s="113"/>
    </row>
    <row r="153" spans="1:6" ht="30.75" customHeight="1" thickBot="1" x14ac:dyDescent="0.35">
      <c r="A153" s="18">
        <v>152</v>
      </c>
      <c r="B153" s="19" t="s">
        <v>188</v>
      </c>
      <c r="C153" s="19" t="s">
        <v>36</v>
      </c>
      <c r="D153" s="90">
        <f>'PESQUISA DE DEMANDA'!$E$20/12</f>
        <v>0</v>
      </c>
      <c r="E153" s="113"/>
      <c r="F153" s="113"/>
    </row>
    <row r="154" spans="1:6" ht="30.75" customHeight="1" thickBot="1" x14ac:dyDescent="0.35">
      <c r="A154" s="18">
        <v>153</v>
      </c>
      <c r="B154" s="19" t="s">
        <v>189</v>
      </c>
      <c r="C154" s="19" t="s">
        <v>36</v>
      </c>
      <c r="D154" s="90">
        <f>'PESQUISA DE DEMANDA'!$E$20</f>
        <v>0</v>
      </c>
      <c r="E154" s="113"/>
      <c r="F154" s="113"/>
    </row>
    <row r="155" spans="1:6" ht="30.75" customHeight="1" thickBot="1" x14ac:dyDescent="0.35">
      <c r="A155" s="18">
        <v>154</v>
      </c>
      <c r="B155" s="19" t="s">
        <v>190</v>
      </c>
      <c r="C155" s="19" t="s">
        <v>36</v>
      </c>
      <c r="D155" s="90">
        <f>'PESQUISA DE DEMANDA'!$E$20/12</f>
        <v>0</v>
      </c>
      <c r="E155" s="113"/>
      <c r="F155" s="113"/>
    </row>
    <row r="156" spans="1:6" ht="30.75" customHeight="1" thickBot="1" x14ac:dyDescent="0.35">
      <c r="A156" s="18">
        <v>155</v>
      </c>
      <c r="B156" s="19" t="s">
        <v>191</v>
      </c>
      <c r="C156" s="19" t="s">
        <v>36</v>
      </c>
      <c r="D156" s="90">
        <f>'PESQUISA DE DEMANDA'!$E$20/12</f>
        <v>0</v>
      </c>
      <c r="E156" s="113"/>
      <c r="F156" s="113"/>
    </row>
    <row r="157" spans="1:6" ht="30.75" customHeight="1" thickBot="1" x14ac:dyDescent="0.35">
      <c r="A157" s="18">
        <v>156</v>
      </c>
      <c r="B157" s="19" t="s">
        <v>192</v>
      </c>
      <c r="C157" s="19" t="s">
        <v>36</v>
      </c>
      <c r="D157" s="90">
        <f>'PESQUISA DE DEMANDA'!$E$20/12</f>
        <v>0</v>
      </c>
      <c r="E157" s="113"/>
      <c r="F157" s="113"/>
    </row>
    <row r="158" spans="1:6" ht="30.75" customHeight="1" thickBot="1" x14ac:dyDescent="0.35">
      <c r="A158" s="18">
        <v>157</v>
      </c>
      <c r="B158" s="19" t="s">
        <v>193</v>
      </c>
      <c r="C158" s="19" t="s">
        <v>36</v>
      </c>
      <c r="D158" s="90">
        <f>'PESQUISA DE DEMANDA'!$E$20/12</f>
        <v>0</v>
      </c>
      <c r="E158" s="113"/>
      <c r="F158" s="113"/>
    </row>
    <row r="159" spans="1:6" ht="30.75" customHeight="1" thickBot="1" x14ac:dyDescent="0.35">
      <c r="A159" s="18">
        <v>158</v>
      </c>
      <c r="B159" s="19" t="s">
        <v>194</v>
      </c>
      <c r="C159" s="19" t="s">
        <v>36</v>
      </c>
      <c r="D159" s="90">
        <f>'PESQUISA DE DEMANDA'!$E$20/24</f>
        <v>0</v>
      </c>
      <c r="E159" s="113"/>
      <c r="F159" s="113"/>
    </row>
    <row r="160" spans="1:6" ht="30.75" customHeight="1" thickBot="1" x14ac:dyDescent="0.35">
      <c r="A160" s="18">
        <v>159</v>
      </c>
      <c r="B160" s="19" t="s">
        <v>195</v>
      </c>
      <c r="C160" s="19" t="s">
        <v>36</v>
      </c>
      <c r="D160" s="90">
        <f>'PESQUISA DE DEMANDA'!$E$20/24</f>
        <v>0</v>
      </c>
      <c r="E160" s="113"/>
      <c r="F160" s="113"/>
    </row>
    <row r="161" spans="1:6" ht="30.75" customHeight="1" thickBot="1" x14ac:dyDescent="0.35">
      <c r="A161" s="18">
        <v>160</v>
      </c>
      <c r="B161" s="19" t="s">
        <v>196</v>
      </c>
      <c r="C161" s="19" t="s">
        <v>36</v>
      </c>
      <c r="D161" s="90">
        <f>'PESQUISA DE DEMANDA'!$E$20/12</f>
        <v>0</v>
      </c>
      <c r="E161" s="113"/>
      <c r="F161" s="113"/>
    </row>
    <row r="162" spans="1:6" ht="30.75" customHeight="1" thickBot="1" x14ac:dyDescent="0.35">
      <c r="A162" s="18">
        <v>161</v>
      </c>
      <c r="B162" s="19" t="s">
        <v>197</v>
      </c>
      <c r="C162" s="19" t="s">
        <v>36</v>
      </c>
      <c r="D162" s="90">
        <f>'PESQUISA DE DEMANDA'!$E$20/12</f>
        <v>0</v>
      </c>
      <c r="E162" s="113"/>
      <c r="F162" s="113"/>
    </row>
    <row r="163" spans="1:6" ht="30.75" customHeight="1" thickBot="1" x14ac:dyDescent="0.35">
      <c r="A163" s="18">
        <v>162</v>
      </c>
      <c r="B163" s="19" t="s">
        <v>198</v>
      </c>
      <c r="C163" s="19" t="s">
        <v>36</v>
      </c>
      <c r="D163" s="90">
        <f>'PESQUISA DE DEMANDA'!$E$20/12</f>
        <v>0</v>
      </c>
      <c r="E163" s="113"/>
      <c r="F163" s="113"/>
    </row>
    <row r="164" spans="1:6" ht="30.75" customHeight="1" thickBot="1" x14ac:dyDescent="0.35">
      <c r="A164" s="18">
        <v>163</v>
      </c>
      <c r="B164" s="19" t="s">
        <v>199</v>
      </c>
      <c r="C164" s="19" t="s">
        <v>36</v>
      </c>
      <c r="D164" s="90">
        <f>'PESQUISA DE DEMANDA'!$E$20/12</f>
        <v>0</v>
      </c>
      <c r="E164" s="113"/>
      <c r="F164" s="113"/>
    </row>
    <row r="165" spans="1:6" ht="30.75" customHeight="1" thickBot="1" x14ac:dyDescent="0.35">
      <c r="A165" s="18">
        <v>164</v>
      </c>
      <c r="B165" s="19" t="s">
        <v>200</v>
      </c>
      <c r="C165" s="19" t="s">
        <v>36</v>
      </c>
      <c r="D165" s="90">
        <f>'PESQUISA DE DEMANDA'!$E$20/32</f>
        <v>0</v>
      </c>
      <c r="E165" s="113"/>
      <c r="F165" s="113"/>
    </row>
    <row r="166" spans="1:6" ht="30.75" customHeight="1" thickBot="1" x14ac:dyDescent="0.35">
      <c r="A166" s="18">
        <v>165</v>
      </c>
      <c r="B166" s="19" t="s">
        <v>201</v>
      </c>
      <c r="C166" s="19" t="s">
        <v>36</v>
      </c>
      <c r="D166" s="90">
        <f>'PESQUISA DE DEMANDA'!$E$20/12</f>
        <v>0</v>
      </c>
      <c r="E166" s="113"/>
      <c r="F166" s="113"/>
    </row>
    <row r="167" spans="1:6" ht="30.75" customHeight="1" thickBot="1" x14ac:dyDescent="0.35">
      <c r="A167" s="18">
        <v>166</v>
      </c>
      <c r="B167" s="19" t="s">
        <v>202</v>
      </c>
      <c r="C167" s="19" t="s">
        <v>36</v>
      </c>
      <c r="D167" s="90">
        <f>'PESQUISA DE DEMANDA'!$E$20/12</f>
        <v>0</v>
      </c>
      <c r="E167" s="113"/>
      <c r="F167" s="113"/>
    </row>
    <row r="168" spans="1:6" ht="30.75" customHeight="1" thickBot="1" x14ac:dyDescent="0.35">
      <c r="A168" s="18">
        <v>167</v>
      </c>
      <c r="B168" s="22" t="s">
        <v>203</v>
      </c>
      <c r="C168" s="22" t="s">
        <v>36</v>
      </c>
      <c r="D168" s="90">
        <f>'PESQUISA DE DEMANDA'!$E$20/32</f>
        <v>0</v>
      </c>
      <c r="E168" s="113"/>
      <c r="F168" s="113"/>
    </row>
    <row r="169" spans="1:6" ht="30.75" customHeight="1" thickBot="1" x14ac:dyDescent="0.35">
      <c r="A169" s="18">
        <v>168</v>
      </c>
      <c r="B169" s="22" t="s">
        <v>204</v>
      </c>
      <c r="C169" s="22" t="s">
        <v>36</v>
      </c>
      <c r="D169" s="90">
        <f>'PESQUISA DE DEMANDA'!$E$20/12</f>
        <v>0</v>
      </c>
      <c r="E169" s="113"/>
      <c r="F169" s="113"/>
    </row>
    <row r="170" spans="1:6" ht="30.75" customHeight="1" thickBot="1" x14ac:dyDescent="0.35">
      <c r="A170" s="18">
        <v>169</v>
      </c>
      <c r="B170" s="19" t="s">
        <v>205</v>
      </c>
      <c r="C170" s="19" t="s">
        <v>36</v>
      </c>
      <c r="D170" s="90">
        <f>'PESQUISA DE DEMANDA'!$E$20/32</f>
        <v>0</v>
      </c>
      <c r="E170" s="113"/>
      <c r="F170" s="113"/>
    </row>
    <row r="171" spans="1:6" ht="30.75" customHeight="1" thickBot="1" x14ac:dyDescent="0.35">
      <c r="A171" s="18">
        <v>170</v>
      </c>
      <c r="B171" s="19" t="s">
        <v>206</v>
      </c>
      <c r="C171" s="19" t="s">
        <v>36</v>
      </c>
      <c r="D171" s="90">
        <f>'PESQUISA DE DEMANDA'!$E$20/12</f>
        <v>0</v>
      </c>
      <c r="E171" s="113"/>
      <c r="F171" s="113"/>
    </row>
    <row r="172" spans="1:6" ht="30.75" customHeight="1" thickBot="1" x14ac:dyDescent="0.35">
      <c r="A172" s="18">
        <v>171</v>
      </c>
      <c r="B172" s="19" t="s">
        <v>207</v>
      </c>
      <c r="C172" s="19" t="s">
        <v>36</v>
      </c>
      <c r="D172" s="90">
        <f>'PESQUISA DE DEMANDA'!$E$20/12</f>
        <v>0</v>
      </c>
      <c r="E172" s="113"/>
      <c r="F172" s="113"/>
    </row>
    <row r="173" spans="1:6" ht="30.75" customHeight="1" thickBot="1" x14ac:dyDescent="0.35">
      <c r="A173" s="18">
        <v>172</v>
      </c>
      <c r="B173" s="23" t="s">
        <v>208</v>
      </c>
      <c r="C173" s="23" t="s">
        <v>36</v>
      </c>
      <c r="D173" s="92">
        <f>'PESQUISA DE DEMANDA'!$E$20/12</f>
        <v>0</v>
      </c>
      <c r="E173" s="115"/>
      <c r="F173" s="115"/>
    </row>
    <row r="174" spans="1:6" ht="30.75" customHeight="1" thickBot="1" x14ac:dyDescent="0.35">
      <c r="A174" s="18">
        <v>173</v>
      </c>
      <c r="B174" s="19" t="s">
        <v>209</v>
      </c>
      <c r="C174" s="19" t="s">
        <v>210</v>
      </c>
      <c r="D174" s="90">
        <f>'PESQUISA DE DEMANDA'!$E$6*6+'PESQUISA DE DEMANDA'!$E$7*6+'PESQUISA DE DEMANDA'!$E$8*3+'PESQUISA DE DEMANDA'!$E$9*3+'PESQUISA DE DEMANDA'!$E$10*3+'PESQUISA DE DEMANDA'!$E$12*3+'PESQUISA DE DEMANDA'!$E$20*10</f>
        <v>0</v>
      </c>
      <c r="E174" s="113"/>
      <c r="F174" s="113"/>
    </row>
    <row r="175" spans="1:6" ht="30.75" customHeight="1" thickBot="1" x14ac:dyDescent="0.35">
      <c r="A175" s="18">
        <v>174</v>
      </c>
      <c r="B175" s="19" t="s">
        <v>211</v>
      </c>
      <c r="C175" s="19" t="s">
        <v>210</v>
      </c>
      <c r="D175" s="90">
        <f>('PESQUISA DE DEMANDA'!$E$6*2)+('PESQUISA DE DEMANDA'!$E$7*2)+'PESQUISA DE DEMANDA'!$E$8+'PESQUISA DE DEMANDA'!$E$9+'PESQUISA DE DEMANDA'!$E$10+'PESQUISA DE DEMANDA'!$E$12</f>
        <v>0</v>
      </c>
      <c r="E175" s="113"/>
      <c r="F175" s="113"/>
    </row>
    <row r="176" spans="1:6" ht="30.75" customHeight="1" thickBot="1" x14ac:dyDescent="0.35">
      <c r="A176" s="24">
        <v>175</v>
      </c>
      <c r="B176" s="22" t="s">
        <v>212</v>
      </c>
      <c r="C176" s="22" t="s">
        <v>210</v>
      </c>
      <c r="D176" s="93">
        <f>'PESQUISA DE DEMANDA'!$E$23</f>
        <v>0</v>
      </c>
      <c r="E176" s="116"/>
      <c r="F176" s="117"/>
    </row>
    <row r="177" spans="1:6" ht="30.75" customHeight="1" thickBot="1" x14ac:dyDescent="0.35">
      <c r="A177" s="24">
        <v>176</v>
      </c>
      <c r="B177" s="22" t="s">
        <v>213</v>
      </c>
      <c r="C177" s="22" t="s">
        <v>210</v>
      </c>
      <c r="D177" s="93">
        <f>'PESQUISA DE DEMANDA'!$E$23</f>
        <v>0</v>
      </c>
      <c r="E177" s="118"/>
      <c r="F177" s="119"/>
    </row>
    <row r="178" spans="1:6" ht="30.75" customHeight="1" thickBot="1" x14ac:dyDescent="0.35">
      <c r="A178" s="24">
        <v>177</v>
      </c>
      <c r="B178" s="22" t="s">
        <v>214</v>
      </c>
      <c r="C178" s="22" t="s">
        <v>210</v>
      </c>
      <c r="D178" s="93">
        <f>'PESQUISA DE DEMANDA'!$E$23*24</f>
        <v>0</v>
      </c>
      <c r="E178" s="118"/>
      <c r="F178" s="119"/>
    </row>
    <row r="179" spans="1:6" ht="30.75" customHeight="1" thickBot="1" x14ac:dyDescent="0.35">
      <c r="A179" s="24">
        <v>178</v>
      </c>
      <c r="B179" s="22" t="s">
        <v>215</v>
      </c>
      <c r="C179" s="22" t="s">
        <v>210</v>
      </c>
      <c r="D179" s="93">
        <f>'PESQUISA DE DEMANDA'!$E$23*24</f>
        <v>0</v>
      </c>
      <c r="E179" s="118"/>
      <c r="F179" s="119"/>
    </row>
    <row r="180" spans="1:6" ht="30.75" customHeight="1" x14ac:dyDescent="0.3">
      <c r="A180" s="26">
        <v>179</v>
      </c>
      <c r="B180" s="27" t="s">
        <v>216</v>
      </c>
      <c r="C180" s="27" t="s">
        <v>210</v>
      </c>
      <c r="D180" s="94">
        <f>'PESQUISA DE DEMANDA'!$E$23*4</f>
        <v>0</v>
      </c>
      <c r="E180" s="120"/>
      <c r="F180" s="121"/>
    </row>
    <row r="181" spans="1:6" ht="30.75" customHeight="1" x14ac:dyDescent="0.3">
      <c r="A181" s="25">
        <v>180</v>
      </c>
      <c r="B181" s="25" t="s">
        <v>217</v>
      </c>
      <c r="C181" s="25" t="s">
        <v>210</v>
      </c>
      <c r="D181" s="95">
        <f>'PESQUISA DE DEMANDA'!$E$23*8</f>
        <v>0</v>
      </c>
      <c r="E181" s="118"/>
      <c r="F181" s="119"/>
    </row>
    <row r="182" spans="1:6" ht="30.75" customHeight="1" x14ac:dyDescent="0.3">
      <c r="A182" s="25">
        <v>181</v>
      </c>
      <c r="B182" s="25" t="s">
        <v>218</v>
      </c>
      <c r="C182" s="25" t="s">
        <v>210</v>
      </c>
      <c r="D182" s="95">
        <f>'PESQUISA DE DEMANDA'!$E$23</f>
        <v>0</v>
      </c>
      <c r="E182" s="118"/>
      <c r="F182" s="119"/>
    </row>
    <row r="183" spans="1:6" ht="30.75" customHeight="1" x14ac:dyDescent="0.3">
      <c r="A183" s="25">
        <v>182</v>
      </c>
      <c r="B183" s="25" t="s">
        <v>219</v>
      </c>
      <c r="C183" s="25" t="s">
        <v>210</v>
      </c>
      <c r="D183" s="95">
        <f>'PESQUISA DE DEMANDA'!$E$23</f>
        <v>0</v>
      </c>
      <c r="E183" s="118"/>
      <c r="F183" s="119"/>
    </row>
    <row r="184" spans="1:6" ht="30.75" customHeight="1" x14ac:dyDescent="0.3">
      <c r="A184" s="25">
        <v>183</v>
      </c>
      <c r="B184" s="25" t="s">
        <v>220</v>
      </c>
      <c r="C184" s="25" t="s">
        <v>210</v>
      </c>
      <c r="D184" s="95">
        <f>'PESQUISA DE DEMANDA'!$E$23</f>
        <v>0</v>
      </c>
      <c r="E184" s="118"/>
      <c r="F184" s="119"/>
    </row>
    <row r="185" spans="1:6" ht="30.75" customHeight="1" x14ac:dyDescent="0.3">
      <c r="D185" s="96"/>
    </row>
    <row r="187" spans="1:6" ht="30.75" customHeight="1" x14ac:dyDescent="0.3">
      <c r="B187" s="28"/>
    </row>
  </sheetData>
  <sheetProtection algorithmName="SHA-512" hashValue="7SO71rPfWfE+KbTScwi/u3QCtdRcm2WRrLaUxBNIzTfJ3NftFXNvAf2r/smxzcpfNMve9T1ydXcJsRQq/KtOfA==" saltValue="14tEli1bsXXdH/sl7XZPKQ==" spinCount="100000" sheet="1" formatCells="0" formatColumns="0" formatRows="0" insertColumns="0" insertRows="0" insertHyperlinks="0" deleteColumns="0" deleteRows="0" sort="0" autoFilter="0" pivotTables="0"/>
  <autoFilter ref="A1:F184" xr:uid="{6940731E-AEFF-4B03-9AD3-31E3809C46BA}"/>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FB73-1C04-4C1E-94E6-3A1F2D3DFA4F}">
  <dimension ref="A1:F40"/>
  <sheetViews>
    <sheetView zoomScale="130" zoomScaleNormal="130" workbookViewId="0"/>
  </sheetViews>
  <sheetFormatPr defaultColWidth="9.109375" defaultRowHeight="14.4" x14ac:dyDescent="0.3"/>
  <cols>
    <col min="1" max="1" width="9.109375" style="17" customWidth="1"/>
    <col min="2" max="2" width="89" style="17" customWidth="1"/>
    <col min="3" max="3" width="9.109375" style="17"/>
    <col min="4" max="4" width="9.33203125" style="97" customWidth="1"/>
    <col min="5" max="5" width="9.33203125" style="17" customWidth="1"/>
    <col min="6" max="16384" width="9.109375" style="17"/>
  </cols>
  <sheetData>
    <row r="1" spans="1:6" s="56" customFormat="1" ht="53.4" thickBot="1" x14ac:dyDescent="0.35">
      <c r="A1" s="53" t="s">
        <v>2</v>
      </c>
      <c r="B1" s="54" t="s">
        <v>221</v>
      </c>
      <c r="C1" s="54" t="s">
        <v>32</v>
      </c>
      <c r="D1" s="89" t="s">
        <v>300</v>
      </c>
      <c r="E1" s="55" t="s">
        <v>33</v>
      </c>
      <c r="F1" s="54" t="s">
        <v>34</v>
      </c>
    </row>
    <row r="2" spans="1:6" ht="53.4" thickBot="1" x14ac:dyDescent="0.35">
      <c r="A2" s="19">
        <v>1</v>
      </c>
      <c r="B2" s="31" t="s">
        <v>222</v>
      </c>
      <c r="C2" s="31" t="s">
        <v>210</v>
      </c>
      <c r="D2" s="90">
        <f>'PESQUISA DE DEMANDA'!$E$6*0.6</f>
        <v>0</v>
      </c>
      <c r="E2" s="122"/>
      <c r="F2" s="112"/>
    </row>
    <row r="3" spans="1:6" ht="53.4" thickBot="1" x14ac:dyDescent="0.35">
      <c r="A3" s="29">
        <v>2</v>
      </c>
      <c r="B3" s="31" t="s">
        <v>223</v>
      </c>
      <c r="C3" s="19" t="s">
        <v>210</v>
      </c>
      <c r="D3" s="90">
        <f>'PESQUISA DE DEMANDA'!$E$7*0.6</f>
        <v>0</v>
      </c>
      <c r="E3" s="123"/>
      <c r="F3" s="113"/>
    </row>
    <row r="4" spans="1:6" ht="27" thickBot="1" x14ac:dyDescent="0.35">
      <c r="A4" s="29">
        <v>3</v>
      </c>
      <c r="B4" s="31" t="s">
        <v>224</v>
      </c>
      <c r="C4" s="19" t="s">
        <v>210</v>
      </c>
      <c r="D4" s="90">
        <f>'PESQUISA DE DEMANDA'!E8*0.6</f>
        <v>0</v>
      </c>
      <c r="E4" s="123"/>
      <c r="F4" s="113"/>
    </row>
    <row r="5" spans="1:6" ht="27" thickBot="1" x14ac:dyDescent="0.35">
      <c r="A5" s="29">
        <v>4</v>
      </c>
      <c r="B5" s="31" t="s">
        <v>225</v>
      </c>
      <c r="C5" s="19" t="s">
        <v>210</v>
      </c>
      <c r="D5" s="90">
        <f>'PESQUISA DE DEMANDA'!$E$9*0.6</f>
        <v>0</v>
      </c>
      <c r="E5" s="123"/>
      <c r="F5" s="113"/>
    </row>
    <row r="6" spans="1:6" ht="27" thickBot="1" x14ac:dyDescent="0.35">
      <c r="A6" s="29">
        <v>5</v>
      </c>
      <c r="B6" s="31" t="s">
        <v>226</v>
      </c>
      <c r="C6" s="19" t="s">
        <v>210</v>
      </c>
      <c r="D6" s="90">
        <f>'PESQUISA DE DEMANDA'!$E$10*0.6</f>
        <v>0</v>
      </c>
      <c r="E6" s="123"/>
      <c r="F6" s="113"/>
    </row>
    <row r="7" spans="1:6" ht="86.25" customHeight="1" thickBot="1" x14ac:dyDescent="0.35">
      <c r="A7" s="29">
        <v>6</v>
      </c>
      <c r="B7" s="31" t="s">
        <v>227</v>
      </c>
      <c r="C7" s="19" t="s">
        <v>210</v>
      </c>
      <c r="D7" s="90">
        <f>'PESQUISA DE DEMANDA'!$E$11*0.6</f>
        <v>0</v>
      </c>
      <c r="E7" s="123"/>
      <c r="F7" s="113"/>
    </row>
    <row r="8" spans="1:6" ht="15" thickBot="1" x14ac:dyDescent="0.35">
      <c r="A8" s="29">
        <v>7</v>
      </c>
      <c r="B8" s="31" t="s">
        <v>228</v>
      </c>
      <c r="C8" s="19" t="s">
        <v>210</v>
      </c>
      <c r="D8" s="90">
        <f>'PESQUISA DE DEMANDA'!$E$12*0.6</f>
        <v>0</v>
      </c>
      <c r="E8" s="123"/>
      <c r="F8" s="113"/>
    </row>
    <row r="9" spans="1:6" ht="27" thickBot="1" x14ac:dyDescent="0.35">
      <c r="A9" s="29">
        <v>8</v>
      </c>
      <c r="B9" s="31" t="s">
        <v>229</v>
      </c>
      <c r="C9" s="19" t="s">
        <v>210</v>
      </c>
      <c r="D9" s="90">
        <f>'PESQUISA DE DEMANDA'!$E$13*0.6</f>
        <v>0</v>
      </c>
      <c r="E9" s="123"/>
      <c r="F9" s="113"/>
    </row>
    <row r="10" spans="1:6" ht="27" thickBot="1" x14ac:dyDescent="0.35">
      <c r="A10" s="29">
        <v>9</v>
      </c>
      <c r="B10" s="31" t="s">
        <v>230</v>
      </c>
      <c r="C10" s="19" t="s">
        <v>210</v>
      </c>
      <c r="D10" s="90">
        <f>'PESQUISA DE DEMANDA'!$E$14*0.6</f>
        <v>0</v>
      </c>
      <c r="E10" s="123"/>
      <c r="F10" s="113"/>
    </row>
    <row r="11" spans="1:6" ht="27" thickBot="1" x14ac:dyDescent="0.35">
      <c r="A11" s="29">
        <v>10</v>
      </c>
      <c r="B11" s="31" t="s">
        <v>231</v>
      </c>
      <c r="C11" s="19" t="s">
        <v>210</v>
      </c>
      <c r="D11" s="90">
        <f>'PESQUISA DE DEMANDA'!$E$15*0.6</f>
        <v>0</v>
      </c>
      <c r="E11" s="123"/>
      <c r="F11" s="113"/>
    </row>
    <row r="12" spans="1:6" ht="15" thickBot="1" x14ac:dyDescent="0.35">
      <c r="A12" s="29">
        <v>11</v>
      </c>
      <c r="B12" s="31" t="s">
        <v>232</v>
      </c>
      <c r="C12" s="19" t="s">
        <v>210</v>
      </c>
      <c r="D12" s="90">
        <f>'PESQUISA DE DEMANDA'!$E$16*0.6</f>
        <v>0</v>
      </c>
      <c r="E12" s="123"/>
      <c r="F12" s="113"/>
    </row>
    <row r="13" spans="1:6" ht="40.200000000000003" thickBot="1" x14ac:dyDescent="0.35">
      <c r="A13" s="29">
        <v>12</v>
      </c>
      <c r="B13" s="31" t="s">
        <v>233</v>
      </c>
      <c r="C13" s="19" t="s">
        <v>210</v>
      </c>
      <c r="D13" s="90">
        <f>('PESQUISA DE DEMANDA'!$E$18+'PESQUISA DE DEMANDA'!$E$19)*0.6</f>
        <v>0</v>
      </c>
      <c r="E13" s="123"/>
      <c r="F13" s="113"/>
    </row>
    <row r="14" spans="1:6" ht="27" thickBot="1" x14ac:dyDescent="0.35">
      <c r="A14" s="29">
        <v>13</v>
      </c>
      <c r="B14" s="31" t="s">
        <v>234</v>
      </c>
      <c r="C14" s="19" t="s">
        <v>210</v>
      </c>
      <c r="D14" s="90">
        <f>'PESQUISA DE DEMANDA'!$E$17*0.6</f>
        <v>0</v>
      </c>
      <c r="E14" s="123"/>
      <c r="F14" s="113"/>
    </row>
    <row r="15" spans="1:6" ht="15" thickBot="1" x14ac:dyDescent="0.35">
      <c r="A15" s="29">
        <v>14</v>
      </c>
      <c r="B15" s="31" t="s">
        <v>235</v>
      </c>
      <c r="C15" s="19" t="s">
        <v>210</v>
      </c>
      <c r="D15" s="90">
        <f>'PESQUISA DE DEMANDA'!$E$20*0.6</f>
        <v>0</v>
      </c>
      <c r="E15" s="123"/>
      <c r="F15" s="113"/>
    </row>
    <row r="16" spans="1:6" ht="15" thickBot="1" x14ac:dyDescent="0.35">
      <c r="A16" s="32">
        <v>15</v>
      </c>
      <c r="B16" s="33" t="s">
        <v>236</v>
      </c>
      <c r="C16" s="33" t="s">
        <v>210</v>
      </c>
      <c r="D16" s="98">
        <f>'PESQUISA DE DEMANDA'!$E$23*0.6</f>
        <v>0</v>
      </c>
      <c r="E16" s="124"/>
      <c r="F16" s="115"/>
    </row>
    <row r="17" spans="1:6" ht="66.599999999999994" thickBot="1" x14ac:dyDescent="0.35">
      <c r="A17" s="29">
        <v>16</v>
      </c>
      <c r="B17" s="34" t="s">
        <v>237</v>
      </c>
      <c r="C17" s="16" t="s">
        <v>210</v>
      </c>
      <c r="D17" s="99">
        <f>'PESQUISA DE DEMANDA'!$E$6*0.4</f>
        <v>0</v>
      </c>
      <c r="E17" s="122"/>
      <c r="F17" s="112"/>
    </row>
    <row r="18" spans="1:6" ht="66.599999999999994" thickBot="1" x14ac:dyDescent="0.35">
      <c r="A18" s="29">
        <v>17</v>
      </c>
      <c r="B18" s="31" t="s">
        <v>238</v>
      </c>
      <c r="C18" s="19" t="s">
        <v>210</v>
      </c>
      <c r="D18" s="90">
        <f>'PESQUISA DE DEMANDA'!$E$7*0.4</f>
        <v>0</v>
      </c>
      <c r="E18" s="123"/>
      <c r="F18" s="113"/>
    </row>
    <row r="19" spans="1:6" ht="40.200000000000003" thickBot="1" x14ac:dyDescent="0.35">
      <c r="A19" s="29">
        <v>18</v>
      </c>
      <c r="B19" s="31" t="s">
        <v>239</v>
      </c>
      <c r="C19" s="19" t="s">
        <v>210</v>
      </c>
      <c r="D19" s="90">
        <f>'PESQUISA DE DEMANDA'!E22*0.4</f>
        <v>0</v>
      </c>
      <c r="E19" s="123"/>
      <c r="F19" s="113"/>
    </row>
    <row r="20" spans="1:6" ht="40.200000000000003" thickBot="1" x14ac:dyDescent="0.35">
      <c r="A20" s="29">
        <v>19</v>
      </c>
      <c r="B20" s="31" t="s">
        <v>240</v>
      </c>
      <c r="C20" s="19" t="s">
        <v>210</v>
      </c>
      <c r="D20" s="90">
        <f>'PESQUISA DE DEMANDA'!E9*0.4</f>
        <v>0</v>
      </c>
      <c r="E20" s="123"/>
      <c r="F20" s="113"/>
    </row>
    <row r="21" spans="1:6" ht="40.200000000000003" thickBot="1" x14ac:dyDescent="0.35">
      <c r="A21" s="32">
        <v>20</v>
      </c>
      <c r="B21" s="31" t="s">
        <v>241</v>
      </c>
      <c r="C21" s="19" t="s">
        <v>210</v>
      </c>
      <c r="D21" s="90">
        <f>'PESQUISA DE DEMANDA'!$E$9*0.4</f>
        <v>0</v>
      </c>
      <c r="E21" s="123"/>
      <c r="F21" s="113"/>
    </row>
    <row r="22" spans="1:6" ht="40.200000000000003" thickBot="1" x14ac:dyDescent="0.35">
      <c r="A22" s="29">
        <v>21</v>
      </c>
      <c r="B22" s="31" t="s">
        <v>242</v>
      </c>
      <c r="C22" s="19" t="s">
        <v>210</v>
      </c>
      <c r="D22" s="90">
        <f>'PESQUISA DE DEMANDA'!$E$10*0.4</f>
        <v>0</v>
      </c>
      <c r="E22" s="123"/>
      <c r="F22" s="113"/>
    </row>
    <row r="23" spans="1:6" ht="40.200000000000003" thickBot="1" x14ac:dyDescent="0.35">
      <c r="A23" s="29">
        <v>22</v>
      </c>
      <c r="B23" s="31" t="s">
        <v>243</v>
      </c>
      <c r="C23" s="19" t="s">
        <v>210</v>
      </c>
      <c r="D23" s="90">
        <f>'PESQUISA DE DEMANDA'!$E$11*0.4</f>
        <v>0</v>
      </c>
      <c r="E23" s="123"/>
      <c r="F23" s="113"/>
    </row>
    <row r="24" spans="1:6" ht="40.200000000000003" thickBot="1" x14ac:dyDescent="0.35">
      <c r="A24" s="29">
        <v>23</v>
      </c>
      <c r="B24" s="31" t="s">
        <v>244</v>
      </c>
      <c r="C24" s="19" t="s">
        <v>210</v>
      </c>
      <c r="D24" s="90">
        <f>'PESQUISA DE DEMANDA'!$E$13*0.4</f>
        <v>0</v>
      </c>
      <c r="E24" s="123"/>
      <c r="F24" s="113"/>
    </row>
    <row r="25" spans="1:6" ht="53.4" thickBot="1" x14ac:dyDescent="0.35">
      <c r="A25" s="29">
        <v>24</v>
      </c>
      <c r="B25" s="31" t="s">
        <v>245</v>
      </c>
      <c r="C25" s="19" t="s">
        <v>210</v>
      </c>
      <c r="D25" s="90">
        <f>'PESQUISA DE DEMANDA'!$E$14*0.4</f>
        <v>0</v>
      </c>
      <c r="E25" s="123"/>
      <c r="F25" s="113"/>
    </row>
    <row r="26" spans="1:6" ht="40.200000000000003" thickBot="1" x14ac:dyDescent="0.35">
      <c r="A26" s="32">
        <v>25</v>
      </c>
      <c r="B26" s="31" t="s">
        <v>246</v>
      </c>
      <c r="C26" s="19" t="s">
        <v>210</v>
      </c>
      <c r="D26" s="90">
        <f>'PESQUISA DE DEMANDA'!$E$15*0.4</f>
        <v>0</v>
      </c>
      <c r="E26" s="123"/>
      <c r="F26" s="113"/>
    </row>
    <row r="27" spans="1:6" ht="27" thickBot="1" x14ac:dyDescent="0.35">
      <c r="A27" s="29">
        <v>26</v>
      </c>
      <c r="B27" s="31" t="s">
        <v>247</v>
      </c>
      <c r="C27" s="19" t="s">
        <v>210</v>
      </c>
      <c r="D27" s="90">
        <f>'PESQUISA DE DEMANDA'!$E$16*0.4</f>
        <v>0</v>
      </c>
      <c r="E27" s="123"/>
      <c r="F27" s="113"/>
    </row>
    <row r="28" spans="1:6" ht="53.4" thickBot="1" x14ac:dyDescent="0.35">
      <c r="A28" s="29">
        <v>27</v>
      </c>
      <c r="B28" s="31" t="s">
        <v>248</v>
      </c>
      <c r="C28" s="19" t="s">
        <v>39</v>
      </c>
      <c r="D28" s="90">
        <f>('PESQUISA DE DEMANDA'!$E$18+'PESQUISA DE DEMANDA'!$E$19)*0.4</f>
        <v>0</v>
      </c>
      <c r="E28" s="123"/>
      <c r="F28" s="113"/>
    </row>
    <row r="29" spans="1:6" ht="40.200000000000003" thickBot="1" x14ac:dyDescent="0.35">
      <c r="A29" s="29">
        <v>28</v>
      </c>
      <c r="B29" s="31" t="s">
        <v>249</v>
      </c>
      <c r="C29" s="19" t="s">
        <v>39</v>
      </c>
      <c r="D29" s="90">
        <f>'PESQUISA DE DEMANDA'!$E$17*0.4</f>
        <v>0</v>
      </c>
      <c r="E29" s="123"/>
      <c r="F29" s="113"/>
    </row>
    <row r="30" spans="1:6" ht="40.200000000000003" thickBot="1" x14ac:dyDescent="0.35">
      <c r="A30" s="29">
        <v>29</v>
      </c>
      <c r="B30" s="31" t="s">
        <v>250</v>
      </c>
      <c r="C30" s="19" t="s">
        <v>210</v>
      </c>
      <c r="D30" s="90">
        <f>'PESQUISA DE DEMANDA'!$E$20*0.4</f>
        <v>0</v>
      </c>
      <c r="E30" s="123"/>
      <c r="F30" s="113"/>
    </row>
    <row r="31" spans="1:6" ht="27" thickBot="1" x14ac:dyDescent="0.35">
      <c r="A31" s="29">
        <v>31</v>
      </c>
      <c r="B31" s="30" t="s">
        <v>251</v>
      </c>
      <c r="C31" s="30" t="s">
        <v>299</v>
      </c>
      <c r="D31" s="98">
        <f>'PESQUISA DE DEMANDA'!$E$23*0.4</f>
        <v>0</v>
      </c>
      <c r="E31" s="125"/>
      <c r="F31" s="113"/>
    </row>
    <row r="32" spans="1:6" ht="40.200000000000003" thickBot="1" x14ac:dyDescent="0.35">
      <c r="A32" s="29">
        <v>32</v>
      </c>
      <c r="B32" s="31" t="s">
        <v>252</v>
      </c>
      <c r="C32" s="19" t="s">
        <v>210</v>
      </c>
      <c r="D32" s="90">
        <f>'PESQUISA DE DEMANDA'!$E$21*0.4</f>
        <v>0</v>
      </c>
      <c r="E32" s="123"/>
      <c r="F32" s="113"/>
    </row>
    <row r="33" spans="1:6" ht="27" thickBot="1" x14ac:dyDescent="0.35">
      <c r="A33" s="32">
        <v>33</v>
      </c>
      <c r="B33" s="31" t="s">
        <v>253</v>
      </c>
      <c r="C33" s="19" t="s">
        <v>210</v>
      </c>
      <c r="D33" s="90">
        <f>ATIVOS!$D$2+ATIVOS!$D$3*0.6</f>
        <v>0</v>
      </c>
      <c r="E33" s="123"/>
      <c r="F33" s="113"/>
    </row>
    <row r="34" spans="1:6" ht="40.200000000000003" thickBot="1" x14ac:dyDescent="0.35">
      <c r="A34" s="29">
        <v>34</v>
      </c>
      <c r="B34" s="31" t="s">
        <v>254</v>
      </c>
      <c r="C34" s="19" t="s">
        <v>210</v>
      </c>
      <c r="D34" s="90">
        <f>ATIVOS!$D$2+ATIVOS!$D$3*0.4</f>
        <v>0</v>
      </c>
      <c r="E34" s="123"/>
      <c r="F34" s="113"/>
    </row>
    <row r="35" spans="1:6" ht="27" thickBot="1" x14ac:dyDescent="0.35">
      <c r="A35" s="29">
        <v>35</v>
      </c>
      <c r="B35" s="31" t="s">
        <v>255</v>
      </c>
      <c r="C35" s="19" t="s">
        <v>210</v>
      </c>
      <c r="D35" s="90">
        <f>'PESQUISA DE DEMANDA'!$E$20*0.6</f>
        <v>0</v>
      </c>
      <c r="E35" s="123"/>
      <c r="F35" s="113"/>
    </row>
    <row r="36" spans="1:6" ht="40.200000000000003" thickBot="1" x14ac:dyDescent="0.35">
      <c r="A36" s="32">
        <v>36</v>
      </c>
      <c r="B36" s="31" t="s">
        <v>256</v>
      </c>
      <c r="C36" s="19" t="s">
        <v>210</v>
      </c>
      <c r="D36" s="90">
        <f>'PESQUISA DE DEMANDA'!$E$20*0.4</f>
        <v>0</v>
      </c>
      <c r="E36" s="123"/>
      <c r="F36" s="113"/>
    </row>
    <row r="37" spans="1:6" ht="15" thickBot="1" x14ac:dyDescent="0.35">
      <c r="A37" s="29">
        <v>37</v>
      </c>
      <c r="B37" s="31" t="s">
        <v>257</v>
      </c>
      <c r="C37" s="19" t="s">
        <v>210</v>
      </c>
      <c r="D37" s="90">
        <f>'PESQUISA DE DEMANDA'!$E$22*0.6</f>
        <v>0</v>
      </c>
      <c r="E37" s="123"/>
      <c r="F37" s="113"/>
    </row>
    <row r="38" spans="1:6" ht="27" thickBot="1" x14ac:dyDescent="0.35">
      <c r="A38" s="29">
        <v>38</v>
      </c>
      <c r="B38" s="31" t="s">
        <v>258</v>
      </c>
      <c r="C38" s="19" t="s">
        <v>210</v>
      </c>
      <c r="D38" s="90">
        <f>'PESQUISA DE DEMANDA'!$E$22*0.4</f>
        <v>0</v>
      </c>
      <c r="E38" s="123"/>
      <c r="F38" s="113"/>
    </row>
    <row r="39" spans="1:6" ht="27" thickBot="1" x14ac:dyDescent="0.35">
      <c r="A39" s="29">
        <v>39</v>
      </c>
      <c r="B39" s="35" t="s">
        <v>259</v>
      </c>
      <c r="C39" s="19" t="s">
        <v>210</v>
      </c>
      <c r="D39" s="90">
        <f>'PESQUISA DE DEMANDA'!E$23</f>
        <v>0</v>
      </c>
      <c r="E39" s="123"/>
      <c r="F39" s="113"/>
    </row>
    <row r="40" spans="1:6" ht="27" thickBot="1" x14ac:dyDescent="0.35">
      <c r="A40" s="29">
        <v>40</v>
      </c>
      <c r="B40" s="35" t="s">
        <v>260</v>
      </c>
      <c r="C40" s="19" t="s">
        <v>210</v>
      </c>
      <c r="D40" s="90">
        <f>'PESQUISA DE DEMANDA'!E$23</f>
        <v>0</v>
      </c>
      <c r="E40" s="123"/>
      <c r="F40" s="113"/>
    </row>
  </sheetData>
  <sheetProtection algorithmName="SHA-512" hashValue="+lr6w9GbQPjaChQ2SGcAukURO+svqfLqYujli6nzO47OD31NyLkm/MPi5SxoPj2m1awD/T1WjzK1Hvtw9qNuQw==" saltValue="6+BCXWOj4QMcZjuM8eJt/w=="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5BC02-EC2B-498E-8D7A-DF8C99C3FA5A}">
  <dimension ref="A1:G23"/>
  <sheetViews>
    <sheetView zoomScale="115" zoomScaleNormal="115" workbookViewId="0"/>
  </sheetViews>
  <sheetFormatPr defaultRowHeight="24" customHeight="1" x14ac:dyDescent="0.3"/>
  <cols>
    <col min="2" max="2" width="66.109375" bestFit="1" customWidth="1"/>
    <col min="4" max="4" width="11.5546875" bestFit="1" customWidth="1"/>
    <col min="5" max="5" width="21.33203125" bestFit="1" customWidth="1"/>
    <col min="6" max="6" width="25.5546875" bestFit="1" customWidth="1"/>
  </cols>
  <sheetData>
    <row r="1" spans="1:7" ht="24" customHeight="1" thickBot="1" x14ac:dyDescent="0.35">
      <c r="A1" s="36" t="s">
        <v>2</v>
      </c>
      <c r="B1" s="37" t="s">
        <v>261</v>
      </c>
      <c r="C1" s="37" t="s">
        <v>32</v>
      </c>
      <c r="D1" s="37" t="s">
        <v>300</v>
      </c>
      <c r="E1" s="37" t="s">
        <v>33</v>
      </c>
      <c r="F1" s="38" t="s">
        <v>34</v>
      </c>
    </row>
    <row r="2" spans="1:7" ht="24" customHeight="1" thickBot="1" x14ac:dyDescent="0.35">
      <c r="A2" s="39">
        <v>1</v>
      </c>
      <c r="B2" s="40" t="s">
        <v>262</v>
      </c>
      <c r="C2" s="41" t="s">
        <v>263</v>
      </c>
      <c r="D2" s="42">
        <f>'PESQUISA DE DEMANDA'!E20/12/12</f>
        <v>0</v>
      </c>
      <c r="E2" s="126"/>
      <c r="F2" s="127"/>
    </row>
    <row r="3" spans="1:7" ht="24" customHeight="1" thickBot="1" x14ac:dyDescent="0.35">
      <c r="A3" s="39">
        <v>2</v>
      </c>
      <c r="B3" s="40" t="s">
        <v>264</v>
      </c>
      <c r="C3" s="41" t="s">
        <v>263</v>
      </c>
      <c r="D3" s="42">
        <f>'PESQUISA DE DEMANDA'!E20/12/6</f>
        <v>0</v>
      </c>
      <c r="E3" s="128"/>
      <c r="F3" s="129"/>
    </row>
    <row r="4" spans="1:7" ht="24" customHeight="1" thickBot="1" x14ac:dyDescent="0.35">
      <c r="A4" s="39">
        <v>3</v>
      </c>
      <c r="B4" s="40" t="s">
        <v>265</v>
      </c>
      <c r="C4" s="41" t="s">
        <v>263</v>
      </c>
      <c r="D4" s="42">
        <f>('PESQUISA DE DEMANDA'!$E$20/100)*15</f>
        <v>0</v>
      </c>
      <c r="E4" s="128"/>
      <c r="F4" s="129"/>
    </row>
    <row r="5" spans="1:7" ht="24" customHeight="1" thickBot="1" x14ac:dyDescent="0.35">
      <c r="A5" s="39">
        <v>4</v>
      </c>
      <c r="B5" s="40" t="s">
        <v>266</v>
      </c>
      <c r="C5" s="41" t="s">
        <v>263</v>
      </c>
      <c r="D5" s="42">
        <f>('PESQUISA DE DEMANDA'!$E$20/100)*80</f>
        <v>0</v>
      </c>
      <c r="E5" s="128"/>
      <c r="F5" s="129"/>
    </row>
    <row r="6" spans="1:7" ht="24" customHeight="1" thickBot="1" x14ac:dyDescent="0.35">
      <c r="A6" s="39">
        <v>5</v>
      </c>
      <c r="B6" s="40" t="s">
        <v>267</v>
      </c>
      <c r="C6" s="43" t="s">
        <v>263</v>
      </c>
      <c r="D6" s="44">
        <f>('PESQUISA DE DEMANDA'!$E$20/100)*5</f>
        <v>0</v>
      </c>
      <c r="E6" s="128"/>
      <c r="F6" s="129"/>
    </row>
    <row r="7" spans="1:7" ht="24" customHeight="1" x14ac:dyDescent="0.3">
      <c r="C7" s="45"/>
    </row>
    <row r="8" spans="1:7" ht="24" customHeight="1" x14ac:dyDescent="0.3">
      <c r="C8" s="45"/>
    </row>
    <row r="9" spans="1:7" ht="24" customHeight="1" x14ac:dyDescent="0.3">
      <c r="C9" s="45"/>
      <c r="D9" s="46"/>
    </row>
    <row r="10" spans="1:7" ht="24" customHeight="1" x14ac:dyDescent="0.3">
      <c r="B10" s="47"/>
    </row>
    <row r="11" spans="1:7" ht="24" customHeight="1" x14ac:dyDescent="0.3">
      <c r="B11" s="47"/>
      <c r="E11" s="48"/>
    </row>
    <row r="15" spans="1:7" ht="24" customHeight="1" x14ac:dyDescent="0.45">
      <c r="D15" s="49"/>
      <c r="E15" s="49"/>
      <c r="F15" s="49"/>
      <c r="G15" s="1"/>
    </row>
    <row r="16" spans="1:7" ht="24" customHeight="1" x14ac:dyDescent="0.45">
      <c r="D16" s="49"/>
      <c r="E16" s="49"/>
      <c r="F16" s="49"/>
      <c r="G16" s="1"/>
    </row>
    <row r="17" spans="4:7" ht="24" customHeight="1" x14ac:dyDescent="0.45">
      <c r="D17" s="49"/>
      <c r="E17" s="49"/>
      <c r="F17" s="49"/>
      <c r="G17" s="49"/>
    </row>
    <row r="19" spans="4:7" ht="24" customHeight="1" x14ac:dyDescent="0.45">
      <c r="D19" s="49"/>
    </row>
    <row r="20" spans="4:7" ht="24" customHeight="1" x14ac:dyDescent="0.45">
      <c r="D20" s="49"/>
    </row>
    <row r="21" spans="4:7" ht="24" customHeight="1" x14ac:dyDescent="0.45">
      <c r="D21" s="49">
        <v>128</v>
      </c>
      <c r="F21">
        <v>31.25</v>
      </c>
    </row>
    <row r="23" spans="4:7" ht="24" customHeight="1" x14ac:dyDescent="0.3">
      <c r="F23">
        <f>100-F17</f>
        <v>100</v>
      </c>
    </row>
  </sheetData>
  <sheetProtection algorithmName="SHA-512" hashValue="+wF//EBvKY9y3I99nKgFFLf9PzjcTYbQPUpfE/JwblKAn3FGZXOXDzDrvCiy61lvi+zKAXyu90OrUaJYKgPdeQ==" saltValue="QT8w2USo/GMWiAXqk4ilYg=="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EC29-58B0-4BD1-A9AC-B386D1263D0D}">
  <dimension ref="A1:C22"/>
  <sheetViews>
    <sheetView zoomScaleNormal="100" workbookViewId="0"/>
  </sheetViews>
  <sheetFormatPr defaultColWidth="55.88671875" defaultRowHeight="13.8" x14ac:dyDescent="0.25"/>
  <cols>
    <col min="1" max="1" width="14.6640625" style="60" customWidth="1"/>
    <col min="2" max="2" width="79.109375" style="60" customWidth="1"/>
    <col min="3" max="3" width="93.88671875" style="60" customWidth="1"/>
    <col min="4" max="16384" width="55.88671875" style="60"/>
  </cols>
  <sheetData>
    <row r="1" spans="1:3" ht="30" customHeight="1" thickBot="1" x14ac:dyDescent="0.3">
      <c r="A1" s="57" t="s">
        <v>2</v>
      </c>
      <c r="B1" s="58" t="s">
        <v>268</v>
      </c>
      <c r="C1" s="59" t="s">
        <v>269</v>
      </c>
    </row>
    <row r="2" spans="1:3" ht="44.25" customHeight="1" x14ac:dyDescent="0.25">
      <c r="A2" s="61">
        <v>1</v>
      </c>
      <c r="B2" s="62" t="s">
        <v>270</v>
      </c>
      <c r="C2" s="105" t="s">
        <v>271</v>
      </c>
    </row>
    <row r="3" spans="1:3" ht="53.25" customHeight="1" thickBot="1" x14ac:dyDescent="0.3">
      <c r="A3" s="63">
        <v>2</v>
      </c>
      <c r="B3" s="64" t="s">
        <v>272</v>
      </c>
      <c r="C3" s="106"/>
    </row>
    <row r="4" spans="1:3" ht="30.75" customHeight="1" x14ac:dyDescent="0.25">
      <c r="A4" s="65">
        <v>3</v>
      </c>
      <c r="B4" s="66" t="s">
        <v>273</v>
      </c>
      <c r="C4" s="107" t="s">
        <v>274</v>
      </c>
    </row>
    <row r="5" spans="1:3" ht="32.25" customHeight="1" x14ac:dyDescent="0.25">
      <c r="A5" s="67">
        <v>4</v>
      </c>
      <c r="B5" s="68" t="s">
        <v>275</v>
      </c>
      <c r="C5" s="108"/>
    </row>
    <row r="6" spans="1:3" ht="34.5" customHeight="1" thickBot="1" x14ac:dyDescent="0.3">
      <c r="A6" s="69">
        <v>5</v>
      </c>
      <c r="B6" s="70" t="s">
        <v>276</v>
      </c>
      <c r="C6" s="109"/>
    </row>
    <row r="7" spans="1:3" ht="69.599999999999994" thickBot="1" x14ac:dyDescent="0.3">
      <c r="A7" s="71">
        <v>6</v>
      </c>
      <c r="B7" s="72" t="s">
        <v>277</v>
      </c>
      <c r="C7" s="73" t="s">
        <v>278</v>
      </c>
    </row>
    <row r="8" spans="1:3" ht="55.5" customHeight="1" thickBot="1" x14ac:dyDescent="0.3">
      <c r="A8" s="74">
        <v>7</v>
      </c>
      <c r="B8" s="75" t="s">
        <v>279</v>
      </c>
      <c r="C8" s="76" t="s">
        <v>280</v>
      </c>
    </row>
    <row r="9" spans="1:3" ht="51" customHeight="1" thickBot="1" x14ac:dyDescent="0.3">
      <c r="A9" s="77">
        <v>8</v>
      </c>
      <c r="B9" s="78" t="s">
        <v>281</v>
      </c>
      <c r="C9" s="79" t="s">
        <v>282</v>
      </c>
    </row>
    <row r="10" spans="1:3" ht="54.75" customHeight="1" thickBot="1" x14ac:dyDescent="0.3">
      <c r="A10" s="77">
        <v>9</v>
      </c>
      <c r="B10" s="78" t="s">
        <v>283</v>
      </c>
      <c r="C10" s="79" t="s">
        <v>284</v>
      </c>
    </row>
    <row r="11" spans="1:3" ht="41.25" customHeight="1" thickBot="1" x14ac:dyDescent="0.3">
      <c r="A11" s="77">
        <v>10</v>
      </c>
      <c r="B11" s="78" t="s">
        <v>285</v>
      </c>
      <c r="C11" s="79" t="s">
        <v>286</v>
      </c>
    </row>
    <row r="12" spans="1:3" ht="73.5" customHeight="1" thickBot="1" x14ac:dyDescent="0.3">
      <c r="A12" s="77">
        <v>11</v>
      </c>
      <c r="B12" s="78" t="s">
        <v>287</v>
      </c>
      <c r="C12" s="79" t="s">
        <v>288</v>
      </c>
    </row>
    <row r="13" spans="1:3" ht="70.5" customHeight="1" thickBot="1" x14ac:dyDescent="0.3">
      <c r="A13" s="77">
        <v>12</v>
      </c>
      <c r="B13" s="78" t="s">
        <v>289</v>
      </c>
      <c r="C13" s="80" t="s">
        <v>290</v>
      </c>
    </row>
    <row r="14" spans="1:3" ht="65.25" customHeight="1" x14ac:dyDescent="0.25">
      <c r="A14" s="81">
        <v>13</v>
      </c>
      <c r="B14" s="82" t="s">
        <v>291</v>
      </c>
      <c r="C14" s="110" t="s">
        <v>292</v>
      </c>
    </row>
    <row r="15" spans="1:3" ht="72" customHeight="1" thickBot="1" x14ac:dyDescent="0.3">
      <c r="A15" s="83">
        <v>14</v>
      </c>
      <c r="B15" s="84" t="s">
        <v>293</v>
      </c>
      <c r="C15" s="111"/>
    </row>
    <row r="16" spans="1:3" ht="60" customHeight="1" thickBot="1" x14ac:dyDescent="0.3">
      <c r="A16" s="77">
        <v>15</v>
      </c>
      <c r="B16" s="78" t="s">
        <v>22</v>
      </c>
      <c r="C16" s="79" t="s">
        <v>294</v>
      </c>
    </row>
    <row r="17" spans="1:3" ht="69" customHeight="1" thickBot="1" x14ac:dyDescent="0.3">
      <c r="A17" s="77">
        <v>16</v>
      </c>
      <c r="B17" s="78" t="s">
        <v>23</v>
      </c>
      <c r="C17" s="79" t="s">
        <v>295</v>
      </c>
    </row>
    <row r="18" spans="1:3" ht="41.25" customHeight="1" thickBot="1" x14ac:dyDescent="0.3">
      <c r="A18" s="77">
        <v>17</v>
      </c>
      <c r="B18" s="78" t="s">
        <v>296</v>
      </c>
      <c r="C18" s="79" t="s">
        <v>297</v>
      </c>
    </row>
    <row r="19" spans="1:3" ht="60" customHeight="1" thickBot="1" x14ac:dyDescent="0.3">
      <c r="A19" s="85">
        <v>18</v>
      </c>
      <c r="B19" s="86" t="s">
        <v>25</v>
      </c>
      <c r="C19" s="87" t="s">
        <v>298</v>
      </c>
    </row>
    <row r="20" spans="1:3" ht="15" customHeight="1" x14ac:dyDescent="0.25">
      <c r="C20" s="88"/>
    </row>
    <row r="21" spans="1:3" ht="15" customHeight="1" x14ac:dyDescent="0.25">
      <c r="C21" s="88"/>
    </row>
    <row r="22" spans="1:3" ht="15" customHeight="1" x14ac:dyDescent="0.25">
      <c r="C22" s="88"/>
    </row>
  </sheetData>
  <mergeCells count="3">
    <mergeCell ref="C2:C3"/>
    <mergeCell ref="C4:C6"/>
    <mergeCell ref="C14:C1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F8B6CF3474A43A54281A4F9079C35" ma:contentTypeVersion="18" ma:contentTypeDescription="Create a new document." ma:contentTypeScope="" ma:versionID="6d62d4f15d72d3105488898b7317b489">
  <xsd:schema xmlns:xsd="http://www.w3.org/2001/XMLSchema" xmlns:xs="http://www.w3.org/2001/XMLSchema" xmlns:p="http://schemas.microsoft.com/office/2006/metadata/properties" xmlns:ns2="08a289d0-dd4c-48c8-9700-f5316b00db43" xmlns:ns3="caf5308f-8e8f-4f86-9744-3821286ca535" targetNamespace="http://schemas.microsoft.com/office/2006/metadata/properties" ma:root="true" ma:fieldsID="250f566106cc972d1640605867d53661" ns2:_="" ns3:_="">
    <xsd:import namespace="08a289d0-dd4c-48c8-9700-f5316b00db43"/>
    <xsd:import namespace="caf5308f-8e8f-4f86-9744-3821286ca5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289d0-dd4c-48c8-9700-f5316b00d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f5308f-8e8f-4f86-9744-3821286ca53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236cd2b-e64d-432f-a526-3677327c68ca}" ma:internalName="TaxCatchAll" ma:showField="CatchAllData" ma:web="caf5308f-8e8f-4f86-9744-3821286ca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a289d0-dd4c-48c8-9700-f5316b00db43">
      <Terms xmlns="http://schemas.microsoft.com/office/infopath/2007/PartnerControls"/>
    </lcf76f155ced4ddcb4097134ff3c332f>
    <TaxCatchAll xmlns="caf5308f-8e8f-4f86-9744-3821286ca535" xsi:nil="true"/>
  </documentManagement>
</p:properties>
</file>

<file path=customXml/itemProps1.xml><?xml version="1.0" encoding="utf-8"?>
<ds:datastoreItem xmlns:ds="http://schemas.openxmlformats.org/officeDocument/2006/customXml" ds:itemID="{AC3C0779-098C-42DD-B020-23AC7660D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289d0-dd4c-48c8-9700-f5316b00db43"/>
    <ds:schemaRef ds:uri="caf5308f-8e8f-4f86-9744-3821286ca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97305-82C0-4557-9EBA-DD378C44038D}">
  <ds:schemaRefs>
    <ds:schemaRef ds:uri="http://schemas.microsoft.com/sharepoint/v3/contenttype/forms"/>
  </ds:schemaRefs>
</ds:datastoreItem>
</file>

<file path=customXml/itemProps3.xml><?xml version="1.0" encoding="utf-8"?>
<ds:datastoreItem xmlns:ds="http://schemas.openxmlformats.org/officeDocument/2006/customXml" ds:itemID="{35A23E1F-3C10-4945-853F-C66F25841718}">
  <ds:schemaRefs>
    <ds:schemaRef ds:uri="http://schemas.microsoft.com/office/2006/metadata/properties"/>
    <ds:schemaRef ds:uri="http://schemas.microsoft.com/office/infopath/2007/PartnerControls"/>
    <ds:schemaRef ds:uri="08a289d0-dd4c-48c8-9700-f5316b00db43"/>
    <ds:schemaRef ds:uri="caf5308f-8e8f-4f86-9744-3821286ca5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PESQUISA DE DEMANDA</vt:lpstr>
      <vt:lpstr>MATERIAIS</vt:lpstr>
      <vt:lpstr>SERVIÇOS</vt:lpstr>
      <vt:lpstr>ATIVOS</vt:lpstr>
      <vt:lpstr>APOIO</vt:lpstr>
    </vt:vector>
  </TitlesOfParts>
  <Manager/>
  <Company>Prodam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Marcelino Sampaio</dc:creator>
  <cp:keywords/>
  <dc:description/>
  <cp:lastModifiedBy>Wesley Mesquita da Silva</cp:lastModifiedBy>
  <cp:revision/>
  <dcterms:created xsi:type="dcterms:W3CDTF">2022-07-06T12:54:38Z</dcterms:created>
  <dcterms:modified xsi:type="dcterms:W3CDTF">2024-10-15T20:16:49Z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0x010100E95F8B6CF3474A43A54281A4F9079C35</vt:lpwstr>
  </property>
  <property fmtid="{D5CDD505-2E9C-101B-9397-08002B2CF9AE}" pid="3" name="MediaServiceImageTags">
    <vt:lpwstr/>
  </property>
</Properties>
</file>